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6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myccsu.sharepoint.com/sites/BSO-AccountingAdministrative/Shared Documents/General/IPEDS/Fiscal Year Comparison/"/>
    </mc:Choice>
  </mc:AlternateContent>
  <xr:revisionPtr revIDLastSave="0" documentId="13_ncr:1_{6DFEE0E7-44B1-4684-90C8-F9E7CBC99741}" xr6:coauthVersionLast="47" xr6:coauthVersionMax="47" xr10:uidLastSave="{00000000-0000-0000-0000-000000000000}"/>
  <bookViews>
    <workbookView xWindow="19080" yWindow="-120" windowWidth="19440" windowHeight="15000" tabRatio="921" firstSheet="2" activeTab="4" xr2:uid="{00000000-000D-0000-FFFF-FFFF00000000}"/>
  </bookViews>
  <sheets>
    <sheet name="Summary FY 2010 - FY 2021" sheetId="13" r:id="rId1"/>
    <sheet name="Program Line Chart" sheetId="17" r:id="rId2"/>
    <sheet name="Category Line Chart" sheetId="18" r:id="rId3"/>
    <sheet name="FY10 and FY21 Pie Chart" sheetId="16" r:id="rId4"/>
    <sheet name="Instructional (1.0)" sheetId="3" r:id="rId5"/>
    <sheet name="Research (2.0)" sheetId="5" r:id="rId6"/>
    <sheet name="Public Service (3.0)" sheetId="6" r:id="rId7"/>
    <sheet name="Academic Support (4.0)" sheetId="4" r:id="rId8"/>
    <sheet name="Student Services (5.0)" sheetId="7" r:id="rId9"/>
    <sheet name="Institutional Support (6.0)" sheetId="8" r:id="rId10"/>
    <sheet name="Oper. &amp; Maint. of Plant (7.0)" sheetId="9" r:id="rId11"/>
    <sheet name="Depreciation (7.7)" sheetId="12" r:id="rId12"/>
    <sheet name="Scholarships (8.0)" sheetId="10" r:id="rId13"/>
    <sheet name="Auxiliary Enterprises (9.0)" sheetId="11" r:id="rId14"/>
  </sheets>
  <definedNames>
    <definedName name="_xlnm._FilterDatabase" localSheetId="7" hidden="1">'Academic Support (4.0)'!$C$89:$V$236</definedName>
    <definedName name="_xlnm._FilterDatabase" localSheetId="13" hidden="1">'Auxiliary Enterprises (9.0)'!$A$1:$A$208</definedName>
    <definedName name="_xlnm._FilterDatabase" localSheetId="9" hidden="1">'Institutional Support (6.0)'!$A$1:$A$257</definedName>
    <definedName name="_xlnm._FilterDatabase" localSheetId="4" hidden="1">'Instructional (1.0)'!$A$1:$A$232</definedName>
    <definedName name="_xlnm._FilterDatabase" localSheetId="10" hidden="1">'Oper. &amp; Maint. of Plant (7.0)'!$A$1:$A$244</definedName>
    <definedName name="_xlnm._FilterDatabase" localSheetId="6" hidden="1">'Public Service (3.0)'!$C$87:$V$230</definedName>
    <definedName name="_xlnm._FilterDatabase" localSheetId="5" hidden="1">'Research (2.0)'!$C$87:$V$217</definedName>
    <definedName name="_xlnm._FilterDatabase" localSheetId="12" hidden="1">'Scholarships (8.0)'!#REF!</definedName>
    <definedName name="_xlnm._FilterDatabase" localSheetId="8" hidden="1">'Student Services (5.0)'!$A$1:$A$247</definedName>
    <definedName name="_xlnm.Print_Area" localSheetId="7">'Academic Support (4.0)'!$C$1:$V$247</definedName>
    <definedName name="_xlnm.Print_Area" localSheetId="13">'Auxiliary Enterprises (9.0)'!$C$1:$V$208</definedName>
    <definedName name="_xlnm.Print_Area" localSheetId="11">'Depreciation (7.7)'!$C$1:$V$203</definedName>
    <definedName name="_xlnm.Print_Area" localSheetId="9">'Institutional Support (6.0)'!$C$1:$V$257</definedName>
    <definedName name="_xlnm.Print_Area" localSheetId="4">'Instructional (1.0)'!$C$1:$V$232</definedName>
    <definedName name="_xlnm.Print_Area" localSheetId="10">'Oper. &amp; Maint. of Plant (7.0)'!$C$1:$V$244</definedName>
    <definedName name="_xlnm.Print_Area" localSheetId="6">'Public Service (3.0)'!$C$1:$V$242</definedName>
    <definedName name="_xlnm.Print_Area" localSheetId="5">'Research (2.0)'!$C$1:$V$229</definedName>
    <definedName name="_xlnm.Print_Area" localSheetId="12">'Scholarships (8.0)'!$C$1:$V$217</definedName>
    <definedName name="_xlnm.Print_Area" localSheetId="8">'Student Services (5.0)'!$C$1:$V$247</definedName>
    <definedName name="_xlnm.Print_Titles" localSheetId="7">'Academic Support (4.0)'!$1:$8</definedName>
    <definedName name="_xlnm.Print_Titles" localSheetId="13">'Auxiliary Enterprises (9.0)'!$1:$8</definedName>
    <definedName name="_xlnm.Print_Titles" localSheetId="11">'Depreciation (7.7)'!$1:$8</definedName>
    <definedName name="_xlnm.Print_Titles" localSheetId="9">'Institutional Support (6.0)'!$1:$8</definedName>
    <definedName name="_xlnm.Print_Titles" localSheetId="4">'Instructional (1.0)'!$1:$8</definedName>
    <definedName name="_xlnm.Print_Titles" localSheetId="10">'Oper. &amp; Maint. of Plant (7.0)'!$1:$8</definedName>
    <definedName name="_xlnm.Print_Titles" localSheetId="6">'Public Service (3.0)'!$1:$8</definedName>
    <definedName name="_xlnm.Print_Titles" localSheetId="5">'Research (2.0)'!$1:$8</definedName>
    <definedName name="_xlnm.Print_Titles" localSheetId="12">'Scholarships (8.0)'!$1:$8</definedName>
    <definedName name="_xlnm.Print_Titles" localSheetId="8">'Student Services (5.0)'!$1:$8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M126" i="13" l="1"/>
  <c r="M125" i="13"/>
  <c r="M124" i="13"/>
  <c r="M123" i="13"/>
  <c r="M122" i="13"/>
  <c r="M121" i="13"/>
  <c r="M120" i="13"/>
  <c r="M119" i="13"/>
  <c r="M118" i="13"/>
  <c r="M115" i="13"/>
  <c r="M114" i="13"/>
  <c r="M113" i="13"/>
  <c r="M112" i="13"/>
  <c r="M111" i="13"/>
  <c r="M110" i="13"/>
  <c r="M109" i="13"/>
  <c r="M108" i="13"/>
  <c r="M107" i="13"/>
  <c r="M106" i="13"/>
  <c r="M102" i="13"/>
  <c r="M101" i="13"/>
  <c r="M100" i="13"/>
  <c r="M99" i="13"/>
  <c r="M96" i="13"/>
  <c r="M95" i="13"/>
  <c r="M94" i="13"/>
  <c r="M93" i="13"/>
  <c r="M89" i="13"/>
  <c r="M85" i="13"/>
  <c r="M84" i="13"/>
  <c r="M86" i="13"/>
  <c r="M81" i="13"/>
  <c r="M78" i="13"/>
  <c r="M73" i="13"/>
  <c r="M70" i="13"/>
  <c r="M65" i="13"/>
  <c r="M62" i="13"/>
  <c r="M61" i="13"/>
  <c r="M60" i="13"/>
  <c r="M53" i="13"/>
  <c r="M52" i="13"/>
  <c r="M57" i="13" s="1"/>
  <c r="M54" i="13"/>
  <c r="T193" i="11"/>
  <c r="T232" i="7" l="1"/>
  <c r="T230" i="4"/>
  <c r="T84" i="10" l="1"/>
  <c r="T81" i="10"/>
  <c r="M45" i="13" l="1"/>
  <c r="M44" i="13"/>
  <c r="M37" i="13"/>
  <c r="M36" i="13"/>
  <c r="M29" i="13" l="1"/>
  <c r="M28" i="13"/>
  <c r="M30" i="13"/>
  <c r="M33" i="13"/>
  <c r="M25" i="13" l="1"/>
  <c r="M22" i="13"/>
  <c r="M21" i="13"/>
  <c r="M20" i="13"/>
  <c r="M17" i="13"/>
  <c r="M14" i="13"/>
  <c r="M13" i="13"/>
  <c r="M12" i="13"/>
  <c r="M9" i="13"/>
  <c r="M6" i="13"/>
  <c r="M5" i="13"/>
  <c r="M4" i="13"/>
  <c r="T11" i="9" l="1"/>
  <c r="T9" i="9"/>
  <c r="T10" i="9"/>
  <c r="T232" i="9"/>
  <c r="T68" i="11"/>
  <c r="T49" i="11"/>
  <c r="U195" i="11"/>
  <c r="V195" i="11" s="1"/>
  <c r="U194" i="11"/>
  <c r="V194" i="11" s="1"/>
  <c r="U193" i="11"/>
  <c r="V193" i="11" s="1"/>
  <c r="U192" i="11"/>
  <c r="V192" i="11" s="1"/>
  <c r="U191" i="11"/>
  <c r="V191" i="11" s="1"/>
  <c r="U190" i="11"/>
  <c r="V190" i="11" s="1"/>
  <c r="U189" i="11"/>
  <c r="V189" i="11" s="1"/>
  <c r="U188" i="11"/>
  <c r="V188" i="11" s="1"/>
  <c r="U187" i="11"/>
  <c r="V187" i="11" s="1"/>
  <c r="U186" i="11"/>
  <c r="V186" i="11" s="1"/>
  <c r="U185" i="11"/>
  <c r="V185" i="11" s="1"/>
  <c r="U184" i="11"/>
  <c r="V184" i="11" s="1"/>
  <c r="U183" i="11"/>
  <c r="V183" i="11" s="1"/>
  <c r="U182" i="11"/>
  <c r="V182" i="11" s="1"/>
  <c r="U181" i="11"/>
  <c r="V181" i="11" s="1"/>
  <c r="U180" i="11"/>
  <c r="V180" i="11" s="1"/>
  <c r="U179" i="11"/>
  <c r="V179" i="11" s="1"/>
  <c r="U178" i="11"/>
  <c r="V178" i="11" s="1"/>
  <c r="U177" i="11"/>
  <c r="V177" i="11" s="1"/>
  <c r="U176" i="11"/>
  <c r="V176" i="11" s="1"/>
  <c r="U175" i="11"/>
  <c r="V175" i="11" s="1"/>
  <c r="U174" i="11"/>
  <c r="V174" i="11" s="1"/>
  <c r="U173" i="11"/>
  <c r="V173" i="11" s="1"/>
  <c r="U172" i="11"/>
  <c r="V172" i="11" s="1"/>
  <c r="U171" i="11"/>
  <c r="V171" i="11" s="1"/>
  <c r="U170" i="11"/>
  <c r="V170" i="11" s="1"/>
  <c r="U169" i="11"/>
  <c r="V169" i="11" s="1"/>
  <c r="U168" i="11"/>
  <c r="V168" i="11" s="1"/>
  <c r="U167" i="11"/>
  <c r="V167" i="11" s="1"/>
  <c r="U166" i="11"/>
  <c r="V166" i="11" s="1"/>
  <c r="U165" i="11"/>
  <c r="V165" i="11" s="1"/>
  <c r="U164" i="11"/>
  <c r="V164" i="11" s="1"/>
  <c r="U163" i="11"/>
  <c r="V163" i="11" s="1"/>
  <c r="U162" i="11"/>
  <c r="V162" i="11" s="1"/>
  <c r="U161" i="11"/>
  <c r="V161" i="11" s="1"/>
  <c r="U160" i="11"/>
  <c r="V160" i="11" s="1"/>
  <c r="U159" i="11"/>
  <c r="V159" i="11" s="1"/>
  <c r="U158" i="11"/>
  <c r="V158" i="11" s="1"/>
  <c r="U157" i="11"/>
  <c r="V157" i="11" s="1"/>
  <c r="U156" i="11"/>
  <c r="V156" i="11" s="1"/>
  <c r="U155" i="11"/>
  <c r="V155" i="11" s="1"/>
  <c r="U154" i="11"/>
  <c r="V154" i="11" s="1"/>
  <c r="U153" i="11"/>
  <c r="V153" i="11" s="1"/>
  <c r="U152" i="11"/>
  <c r="V152" i="11" s="1"/>
  <c r="U151" i="11"/>
  <c r="V151" i="11" s="1"/>
  <c r="U150" i="11"/>
  <c r="V150" i="11" s="1"/>
  <c r="U149" i="11"/>
  <c r="V149" i="11" s="1"/>
  <c r="U148" i="11"/>
  <c r="V148" i="11" s="1"/>
  <c r="U147" i="11"/>
  <c r="V147" i="11" s="1"/>
  <c r="U146" i="11"/>
  <c r="V146" i="11" s="1"/>
  <c r="U145" i="11"/>
  <c r="V145" i="11" s="1"/>
  <c r="U144" i="11"/>
  <c r="V144" i="11" s="1"/>
  <c r="U143" i="11"/>
  <c r="V143" i="11" s="1"/>
  <c r="U142" i="11"/>
  <c r="V142" i="11" s="1"/>
  <c r="U141" i="11"/>
  <c r="V141" i="11" s="1"/>
  <c r="U140" i="11"/>
  <c r="V140" i="11" s="1"/>
  <c r="U139" i="11"/>
  <c r="V139" i="11" s="1"/>
  <c r="U138" i="11"/>
  <c r="V138" i="11" s="1"/>
  <c r="U137" i="11"/>
  <c r="V137" i="11" s="1"/>
  <c r="U136" i="11"/>
  <c r="V136" i="11" s="1"/>
  <c r="U135" i="11"/>
  <c r="V135" i="11" s="1"/>
  <c r="U134" i="11"/>
  <c r="V134" i="11" s="1"/>
  <c r="U133" i="11"/>
  <c r="V133" i="11" s="1"/>
  <c r="U132" i="11"/>
  <c r="V132" i="11" s="1"/>
  <c r="U131" i="11"/>
  <c r="V131" i="11" s="1"/>
  <c r="U130" i="11"/>
  <c r="V130" i="11" s="1"/>
  <c r="U129" i="11"/>
  <c r="V129" i="11" s="1"/>
  <c r="U128" i="11"/>
  <c r="V128" i="11" s="1"/>
  <c r="U127" i="11"/>
  <c r="V127" i="11" s="1"/>
  <c r="U126" i="11"/>
  <c r="V126" i="11" s="1"/>
  <c r="U125" i="11"/>
  <c r="V125" i="11" s="1"/>
  <c r="U124" i="11"/>
  <c r="V124" i="11" s="1"/>
  <c r="U123" i="11"/>
  <c r="V123" i="11" s="1"/>
  <c r="U122" i="11"/>
  <c r="V122" i="11" s="1"/>
  <c r="U121" i="11"/>
  <c r="V121" i="11" s="1"/>
  <c r="U120" i="11"/>
  <c r="V120" i="11" s="1"/>
  <c r="U119" i="11"/>
  <c r="V119" i="11" s="1"/>
  <c r="U118" i="11"/>
  <c r="V118" i="11" s="1"/>
  <c r="U117" i="11"/>
  <c r="V117" i="11" s="1"/>
  <c r="U116" i="11"/>
  <c r="V116" i="11" s="1"/>
  <c r="U115" i="11"/>
  <c r="V115" i="11" s="1"/>
  <c r="U114" i="11"/>
  <c r="V114" i="11" s="1"/>
  <c r="U113" i="11"/>
  <c r="V113" i="11" s="1"/>
  <c r="U112" i="11"/>
  <c r="V112" i="11" s="1"/>
  <c r="U111" i="11"/>
  <c r="V111" i="11" s="1"/>
  <c r="U110" i="11"/>
  <c r="V110" i="11" s="1"/>
  <c r="U109" i="11"/>
  <c r="V109" i="11" s="1"/>
  <c r="U108" i="11"/>
  <c r="V108" i="11" s="1"/>
  <c r="U107" i="11"/>
  <c r="V107" i="11" s="1"/>
  <c r="U106" i="11"/>
  <c r="V106" i="11" s="1"/>
  <c r="U105" i="11"/>
  <c r="V105" i="11" s="1"/>
  <c r="U104" i="11"/>
  <c r="V104" i="11" s="1"/>
  <c r="U103" i="11"/>
  <c r="V103" i="11" s="1"/>
  <c r="U102" i="11"/>
  <c r="V102" i="11" s="1"/>
  <c r="U101" i="11"/>
  <c r="V101" i="11" s="1"/>
  <c r="U100" i="11"/>
  <c r="V100" i="11" s="1"/>
  <c r="U99" i="11"/>
  <c r="V99" i="11" s="1"/>
  <c r="U98" i="11"/>
  <c r="V98" i="11" s="1"/>
  <c r="U97" i="11"/>
  <c r="V97" i="11" s="1"/>
  <c r="U96" i="11"/>
  <c r="V96" i="11" s="1"/>
  <c r="U95" i="11"/>
  <c r="V95" i="11" s="1"/>
  <c r="U94" i="11"/>
  <c r="V94" i="11" s="1"/>
  <c r="U93" i="11"/>
  <c r="V93" i="11" s="1"/>
  <c r="U92" i="11"/>
  <c r="V92" i="11" s="1"/>
  <c r="U91" i="11"/>
  <c r="V91" i="11" s="1"/>
  <c r="U90" i="11"/>
  <c r="V90" i="11" s="1"/>
  <c r="U89" i="11"/>
  <c r="V89" i="11" s="1"/>
  <c r="U88" i="11"/>
  <c r="V88" i="11" s="1"/>
  <c r="U87" i="11"/>
  <c r="V87" i="11" s="1"/>
  <c r="U86" i="11"/>
  <c r="V86" i="11" s="1"/>
  <c r="U85" i="11"/>
  <c r="V85" i="11" s="1"/>
  <c r="U84" i="11"/>
  <c r="V84" i="11" s="1"/>
  <c r="U83" i="11"/>
  <c r="V83" i="11" s="1"/>
  <c r="U82" i="11"/>
  <c r="V82" i="11" s="1"/>
  <c r="U81" i="11"/>
  <c r="V81" i="11" s="1"/>
  <c r="U65" i="11"/>
  <c r="V65" i="11" s="1"/>
  <c r="U64" i="11"/>
  <c r="V64" i="11" s="1"/>
  <c r="U62" i="11"/>
  <c r="V62" i="11" s="1"/>
  <c r="U61" i="11"/>
  <c r="V61" i="11" s="1"/>
  <c r="U60" i="11"/>
  <c r="V60" i="11" s="1"/>
  <c r="U59" i="11"/>
  <c r="V59" i="11" s="1"/>
  <c r="U58" i="11"/>
  <c r="V58" i="11" s="1"/>
  <c r="U56" i="11"/>
  <c r="V56" i="11" s="1"/>
  <c r="U54" i="11"/>
  <c r="V54" i="11" s="1"/>
  <c r="U53" i="11"/>
  <c r="V53" i="11" s="1"/>
  <c r="U52" i="11"/>
  <c r="V52" i="11" s="1"/>
  <c r="U51" i="11"/>
  <c r="V51" i="11" s="1"/>
  <c r="U50" i="11"/>
  <c r="V50" i="11" s="1"/>
  <c r="U48" i="11"/>
  <c r="V48" i="11" s="1"/>
  <c r="U41" i="11"/>
  <c r="V41" i="11" s="1"/>
  <c r="U38" i="11"/>
  <c r="V38" i="11" s="1"/>
  <c r="U35" i="11"/>
  <c r="V35" i="11" s="1"/>
  <c r="U32" i="11"/>
  <c r="V32" i="11" s="1"/>
  <c r="U30" i="11"/>
  <c r="V30" i="11" s="1"/>
  <c r="U28" i="11"/>
  <c r="V28" i="11" s="1"/>
  <c r="U12" i="11"/>
  <c r="V12" i="11" s="1"/>
  <c r="U11" i="11"/>
  <c r="V11" i="11" s="1"/>
  <c r="U10" i="11"/>
  <c r="V10" i="11" s="1"/>
  <c r="U209" i="10"/>
  <c r="V209" i="10" s="1"/>
  <c r="U207" i="10"/>
  <c r="V207" i="10" s="1"/>
  <c r="U204" i="10"/>
  <c r="V204" i="10" s="1"/>
  <c r="U203" i="10"/>
  <c r="V203" i="10" s="1"/>
  <c r="U202" i="10"/>
  <c r="V202" i="10" s="1"/>
  <c r="U201" i="10"/>
  <c r="V201" i="10" s="1"/>
  <c r="U200" i="10"/>
  <c r="V200" i="10" s="1"/>
  <c r="U199" i="10"/>
  <c r="V199" i="10" s="1"/>
  <c r="U198" i="10"/>
  <c r="V198" i="10" s="1"/>
  <c r="U197" i="10"/>
  <c r="V197" i="10" s="1"/>
  <c r="U196" i="10"/>
  <c r="V196" i="10" s="1"/>
  <c r="U195" i="10"/>
  <c r="V195" i="10" s="1"/>
  <c r="U194" i="10"/>
  <c r="V194" i="10" s="1"/>
  <c r="U193" i="10"/>
  <c r="V193" i="10" s="1"/>
  <c r="U192" i="10"/>
  <c r="V192" i="10" s="1"/>
  <c r="U191" i="10"/>
  <c r="V191" i="10" s="1"/>
  <c r="U190" i="10"/>
  <c r="V190" i="10" s="1"/>
  <c r="U189" i="10"/>
  <c r="V189" i="10" s="1"/>
  <c r="U188" i="10"/>
  <c r="V188" i="10" s="1"/>
  <c r="U187" i="10"/>
  <c r="V187" i="10" s="1"/>
  <c r="U186" i="10"/>
  <c r="V186" i="10" s="1"/>
  <c r="U185" i="10"/>
  <c r="V185" i="10" s="1"/>
  <c r="U184" i="10"/>
  <c r="V184" i="10" s="1"/>
  <c r="U183" i="10"/>
  <c r="V183" i="10" s="1"/>
  <c r="U182" i="10"/>
  <c r="V182" i="10" s="1"/>
  <c r="U181" i="10"/>
  <c r="V181" i="10" s="1"/>
  <c r="U180" i="10"/>
  <c r="V180" i="10" s="1"/>
  <c r="U179" i="10"/>
  <c r="V179" i="10" s="1"/>
  <c r="U178" i="10"/>
  <c r="V178" i="10" s="1"/>
  <c r="U177" i="10"/>
  <c r="V177" i="10" s="1"/>
  <c r="U176" i="10"/>
  <c r="V176" i="10" s="1"/>
  <c r="U175" i="10"/>
  <c r="V175" i="10" s="1"/>
  <c r="U174" i="10"/>
  <c r="V174" i="10" s="1"/>
  <c r="U173" i="10"/>
  <c r="V173" i="10" s="1"/>
  <c r="U172" i="10"/>
  <c r="V172" i="10" s="1"/>
  <c r="U171" i="10"/>
  <c r="V171" i="10" s="1"/>
  <c r="U170" i="10"/>
  <c r="V170" i="10" s="1"/>
  <c r="U169" i="10"/>
  <c r="V169" i="10" s="1"/>
  <c r="U168" i="10"/>
  <c r="V168" i="10" s="1"/>
  <c r="U167" i="10"/>
  <c r="V167" i="10" s="1"/>
  <c r="U166" i="10"/>
  <c r="V166" i="10" s="1"/>
  <c r="U165" i="10"/>
  <c r="V165" i="10" s="1"/>
  <c r="U164" i="10"/>
  <c r="V164" i="10" s="1"/>
  <c r="U163" i="10"/>
  <c r="V163" i="10" s="1"/>
  <c r="U162" i="10"/>
  <c r="V162" i="10" s="1"/>
  <c r="U161" i="10"/>
  <c r="V161" i="10" s="1"/>
  <c r="U160" i="10"/>
  <c r="V160" i="10" s="1"/>
  <c r="U159" i="10"/>
  <c r="V159" i="10" s="1"/>
  <c r="U158" i="10"/>
  <c r="V158" i="10" s="1"/>
  <c r="U157" i="10"/>
  <c r="V157" i="10" s="1"/>
  <c r="U156" i="10"/>
  <c r="V156" i="10" s="1"/>
  <c r="U155" i="10"/>
  <c r="V155" i="10" s="1"/>
  <c r="U154" i="10"/>
  <c r="V154" i="10" s="1"/>
  <c r="U153" i="10"/>
  <c r="V153" i="10" s="1"/>
  <c r="U152" i="10"/>
  <c r="V152" i="10" s="1"/>
  <c r="U151" i="10"/>
  <c r="V151" i="10" s="1"/>
  <c r="U150" i="10"/>
  <c r="V150" i="10" s="1"/>
  <c r="U149" i="10"/>
  <c r="V149" i="10" s="1"/>
  <c r="U148" i="10"/>
  <c r="V148" i="10" s="1"/>
  <c r="U147" i="10"/>
  <c r="V147" i="10" s="1"/>
  <c r="U146" i="10"/>
  <c r="V146" i="10" s="1"/>
  <c r="U145" i="10"/>
  <c r="V145" i="10" s="1"/>
  <c r="U144" i="10"/>
  <c r="V144" i="10" s="1"/>
  <c r="U143" i="10"/>
  <c r="V143" i="10" s="1"/>
  <c r="U142" i="10"/>
  <c r="V142" i="10" s="1"/>
  <c r="U141" i="10"/>
  <c r="V141" i="10" s="1"/>
  <c r="U140" i="10"/>
  <c r="V140" i="10" s="1"/>
  <c r="U139" i="10"/>
  <c r="V139" i="10" s="1"/>
  <c r="U138" i="10"/>
  <c r="V138" i="10" s="1"/>
  <c r="U137" i="10"/>
  <c r="V137" i="10" s="1"/>
  <c r="U136" i="10"/>
  <c r="V136" i="10" s="1"/>
  <c r="U135" i="10"/>
  <c r="V135" i="10" s="1"/>
  <c r="U134" i="10"/>
  <c r="V134" i="10" s="1"/>
  <c r="U133" i="10"/>
  <c r="V133" i="10" s="1"/>
  <c r="U132" i="10"/>
  <c r="V132" i="10" s="1"/>
  <c r="U131" i="10"/>
  <c r="V131" i="10" s="1"/>
  <c r="U130" i="10"/>
  <c r="V130" i="10" s="1"/>
  <c r="U129" i="10"/>
  <c r="V129" i="10" s="1"/>
  <c r="U128" i="10"/>
  <c r="V128" i="10" s="1"/>
  <c r="U127" i="10"/>
  <c r="V127" i="10" s="1"/>
  <c r="U126" i="10"/>
  <c r="V126" i="10" s="1"/>
  <c r="U125" i="10"/>
  <c r="V125" i="10" s="1"/>
  <c r="U124" i="10"/>
  <c r="V124" i="10" s="1"/>
  <c r="U123" i="10"/>
  <c r="V123" i="10" s="1"/>
  <c r="U122" i="10"/>
  <c r="V122" i="10" s="1"/>
  <c r="U121" i="10"/>
  <c r="V121" i="10" s="1"/>
  <c r="U120" i="10"/>
  <c r="V120" i="10" s="1"/>
  <c r="U119" i="10"/>
  <c r="V119" i="10" s="1"/>
  <c r="U118" i="10"/>
  <c r="V118" i="10" s="1"/>
  <c r="U117" i="10"/>
  <c r="V117" i="10" s="1"/>
  <c r="U116" i="10"/>
  <c r="V116" i="10" s="1"/>
  <c r="U115" i="10"/>
  <c r="V115" i="10" s="1"/>
  <c r="U114" i="10"/>
  <c r="V114" i="10" s="1"/>
  <c r="U113" i="10"/>
  <c r="V113" i="10" s="1"/>
  <c r="U112" i="10"/>
  <c r="V112" i="10" s="1"/>
  <c r="U111" i="10"/>
  <c r="V111" i="10" s="1"/>
  <c r="U110" i="10"/>
  <c r="V110" i="10" s="1"/>
  <c r="U109" i="10"/>
  <c r="V109" i="10" s="1"/>
  <c r="U108" i="10"/>
  <c r="V108" i="10" s="1"/>
  <c r="U107" i="10"/>
  <c r="V107" i="10" s="1"/>
  <c r="U106" i="10"/>
  <c r="V106" i="10" s="1"/>
  <c r="U105" i="10"/>
  <c r="V105" i="10" s="1"/>
  <c r="U104" i="10"/>
  <c r="V104" i="10" s="1"/>
  <c r="U103" i="10"/>
  <c r="V103" i="10" s="1"/>
  <c r="U102" i="10"/>
  <c r="V102" i="10" s="1"/>
  <c r="U101" i="10"/>
  <c r="V101" i="10" s="1"/>
  <c r="U100" i="10"/>
  <c r="V100" i="10" s="1"/>
  <c r="U99" i="10"/>
  <c r="V99" i="10" s="1"/>
  <c r="U98" i="10"/>
  <c r="V98" i="10" s="1"/>
  <c r="U97" i="10"/>
  <c r="V97" i="10" s="1"/>
  <c r="U96" i="10"/>
  <c r="V96" i="10" s="1"/>
  <c r="U95" i="10"/>
  <c r="V95" i="10" s="1"/>
  <c r="U94" i="10"/>
  <c r="V94" i="10" s="1"/>
  <c r="U93" i="10"/>
  <c r="V93" i="10" s="1"/>
  <c r="U92" i="10"/>
  <c r="V92" i="10" s="1"/>
  <c r="U91" i="10"/>
  <c r="V91" i="10" s="1"/>
  <c r="U90" i="10"/>
  <c r="V90" i="10" s="1"/>
  <c r="U89" i="10"/>
  <c r="V89" i="10" s="1"/>
  <c r="U88" i="10"/>
  <c r="V88" i="10" s="1"/>
  <c r="U87" i="10"/>
  <c r="V87" i="10" s="1"/>
  <c r="U86" i="10"/>
  <c r="V86" i="10" s="1"/>
  <c r="U85" i="10"/>
  <c r="V85" i="10" s="1"/>
  <c r="U83" i="10"/>
  <c r="V83" i="10" s="1"/>
  <c r="U82" i="10"/>
  <c r="V82" i="10" s="1"/>
  <c r="U77" i="10"/>
  <c r="V77" i="10" s="1"/>
  <c r="U76" i="10"/>
  <c r="V76" i="10" s="1"/>
  <c r="U75" i="10"/>
  <c r="V75" i="10" s="1"/>
  <c r="U74" i="10"/>
  <c r="V74" i="10" s="1"/>
  <c r="U73" i="10"/>
  <c r="V73" i="10" s="1"/>
  <c r="U72" i="10"/>
  <c r="V72" i="10" s="1"/>
  <c r="U71" i="10"/>
  <c r="V71" i="10" s="1"/>
  <c r="U70" i="10"/>
  <c r="V70" i="10" s="1"/>
  <c r="U69" i="10"/>
  <c r="V69" i="10" s="1"/>
  <c r="U68" i="10"/>
  <c r="V68" i="10" s="1"/>
  <c r="U67" i="10"/>
  <c r="V67" i="10" s="1"/>
  <c r="U66" i="10"/>
  <c r="V66" i="10" s="1"/>
  <c r="U65" i="10"/>
  <c r="V65" i="10" s="1"/>
  <c r="U63" i="10"/>
  <c r="V63" i="10" s="1"/>
  <c r="U62" i="10"/>
  <c r="V62" i="10" s="1"/>
  <c r="U61" i="10"/>
  <c r="V61" i="10" s="1"/>
  <c r="U60" i="10"/>
  <c r="V60" i="10" s="1"/>
  <c r="U59" i="10"/>
  <c r="V59" i="10" s="1"/>
  <c r="U58" i="10"/>
  <c r="V58" i="10" s="1"/>
  <c r="U57" i="10"/>
  <c r="V57" i="10" s="1"/>
  <c r="U56" i="10"/>
  <c r="V56" i="10" s="1"/>
  <c r="U55" i="10"/>
  <c r="V55" i="10" s="1"/>
  <c r="U54" i="10"/>
  <c r="V54" i="10" s="1"/>
  <c r="U53" i="10"/>
  <c r="V53" i="10" s="1"/>
  <c r="U52" i="10"/>
  <c r="V52" i="10" s="1"/>
  <c r="U51" i="10"/>
  <c r="V51" i="10" s="1"/>
  <c r="U50" i="10"/>
  <c r="V50" i="10" s="1"/>
  <c r="U49" i="10"/>
  <c r="V49" i="10" s="1"/>
  <c r="U48" i="10"/>
  <c r="V48" i="10" s="1"/>
  <c r="U47" i="10"/>
  <c r="V47" i="10" s="1"/>
  <c r="U46" i="10"/>
  <c r="V46" i="10" s="1"/>
  <c r="U45" i="10"/>
  <c r="V45" i="10" s="1"/>
  <c r="U44" i="10"/>
  <c r="V44" i="10" s="1"/>
  <c r="U43" i="10"/>
  <c r="V43" i="10" s="1"/>
  <c r="U42" i="10"/>
  <c r="V42" i="10" s="1"/>
  <c r="U41" i="10"/>
  <c r="V41" i="10" s="1"/>
  <c r="U40" i="10"/>
  <c r="V40" i="10" s="1"/>
  <c r="U39" i="10"/>
  <c r="V39" i="10" s="1"/>
  <c r="U38" i="10"/>
  <c r="V38" i="10" s="1"/>
  <c r="U37" i="10"/>
  <c r="V37" i="10" s="1"/>
  <c r="U36" i="10"/>
  <c r="V36" i="10" s="1"/>
  <c r="U35" i="10"/>
  <c r="V35" i="10" s="1"/>
  <c r="U34" i="10"/>
  <c r="V34" i="10" s="1"/>
  <c r="U33" i="10"/>
  <c r="V33" i="10" s="1"/>
  <c r="U32" i="10"/>
  <c r="V32" i="10" s="1"/>
  <c r="U31" i="10"/>
  <c r="V31" i="10" s="1"/>
  <c r="U30" i="10"/>
  <c r="V30" i="10" s="1"/>
  <c r="U29" i="10"/>
  <c r="V29" i="10" s="1"/>
  <c r="U28" i="10"/>
  <c r="V28" i="10" s="1"/>
  <c r="U27" i="10"/>
  <c r="V27" i="10" s="1"/>
  <c r="U18" i="10"/>
  <c r="V18" i="10" s="1"/>
  <c r="U12" i="10"/>
  <c r="V12" i="10" s="1"/>
  <c r="U11" i="10"/>
  <c r="V11" i="10" s="1"/>
  <c r="U10" i="10"/>
  <c r="V10" i="10" s="1"/>
  <c r="U193" i="12"/>
  <c r="V193" i="12" s="1"/>
  <c r="U190" i="12"/>
  <c r="V190" i="12" s="1"/>
  <c r="U189" i="12"/>
  <c r="V189" i="12" s="1"/>
  <c r="U188" i="12"/>
  <c r="V188" i="12" s="1"/>
  <c r="U187" i="12"/>
  <c r="V187" i="12" s="1"/>
  <c r="U186" i="12"/>
  <c r="V186" i="12" s="1"/>
  <c r="U185" i="12"/>
  <c r="V185" i="12" s="1"/>
  <c r="U184" i="12"/>
  <c r="V184" i="12" s="1"/>
  <c r="U183" i="12"/>
  <c r="V183" i="12" s="1"/>
  <c r="U182" i="12"/>
  <c r="V182" i="12" s="1"/>
  <c r="U181" i="12"/>
  <c r="V181" i="12" s="1"/>
  <c r="U180" i="12"/>
  <c r="V180" i="12" s="1"/>
  <c r="U178" i="12"/>
  <c r="V178" i="12" s="1"/>
  <c r="U177" i="12"/>
  <c r="V177" i="12" s="1"/>
  <c r="U176" i="12"/>
  <c r="V176" i="12" s="1"/>
  <c r="U175" i="12"/>
  <c r="V175" i="12" s="1"/>
  <c r="U174" i="12"/>
  <c r="V174" i="12" s="1"/>
  <c r="U173" i="12"/>
  <c r="V173" i="12" s="1"/>
  <c r="U172" i="12"/>
  <c r="V172" i="12" s="1"/>
  <c r="U171" i="12"/>
  <c r="V171" i="12" s="1"/>
  <c r="U170" i="12"/>
  <c r="V170" i="12" s="1"/>
  <c r="U169" i="12"/>
  <c r="V169" i="12" s="1"/>
  <c r="U168" i="12"/>
  <c r="V168" i="12" s="1"/>
  <c r="U167" i="12"/>
  <c r="V167" i="12" s="1"/>
  <c r="U166" i="12"/>
  <c r="V166" i="12" s="1"/>
  <c r="U165" i="12"/>
  <c r="V165" i="12" s="1"/>
  <c r="U164" i="12"/>
  <c r="V164" i="12" s="1"/>
  <c r="U163" i="12"/>
  <c r="V163" i="12" s="1"/>
  <c r="U162" i="12"/>
  <c r="V162" i="12" s="1"/>
  <c r="U161" i="12"/>
  <c r="V161" i="12" s="1"/>
  <c r="U160" i="12"/>
  <c r="V160" i="12" s="1"/>
  <c r="U159" i="12"/>
  <c r="V159" i="12" s="1"/>
  <c r="U158" i="12"/>
  <c r="V158" i="12" s="1"/>
  <c r="U157" i="12"/>
  <c r="V157" i="12" s="1"/>
  <c r="U156" i="12"/>
  <c r="V156" i="12" s="1"/>
  <c r="U155" i="12"/>
  <c r="V155" i="12" s="1"/>
  <c r="U154" i="12"/>
  <c r="V154" i="12" s="1"/>
  <c r="U153" i="12"/>
  <c r="V153" i="12" s="1"/>
  <c r="U152" i="12"/>
  <c r="V152" i="12" s="1"/>
  <c r="U151" i="12"/>
  <c r="V151" i="12" s="1"/>
  <c r="U150" i="12"/>
  <c r="V150" i="12" s="1"/>
  <c r="U149" i="12"/>
  <c r="V149" i="12" s="1"/>
  <c r="U148" i="12"/>
  <c r="V148" i="12" s="1"/>
  <c r="U147" i="12"/>
  <c r="V147" i="12" s="1"/>
  <c r="U146" i="12"/>
  <c r="V146" i="12" s="1"/>
  <c r="U145" i="12"/>
  <c r="V145" i="12" s="1"/>
  <c r="U144" i="12"/>
  <c r="V144" i="12" s="1"/>
  <c r="U143" i="12"/>
  <c r="V143" i="12" s="1"/>
  <c r="U142" i="12"/>
  <c r="V142" i="12" s="1"/>
  <c r="U141" i="12"/>
  <c r="V141" i="12" s="1"/>
  <c r="U140" i="12"/>
  <c r="V140" i="12" s="1"/>
  <c r="U139" i="12"/>
  <c r="V139" i="12" s="1"/>
  <c r="U138" i="12"/>
  <c r="V138" i="12" s="1"/>
  <c r="U137" i="12"/>
  <c r="V137" i="12" s="1"/>
  <c r="U136" i="12"/>
  <c r="V136" i="12" s="1"/>
  <c r="U135" i="12"/>
  <c r="V135" i="12" s="1"/>
  <c r="U134" i="12"/>
  <c r="V134" i="12" s="1"/>
  <c r="U133" i="12"/>
  <c r="V133" i="12" s="1"/>
  <c r="U132" i="12"/>
  <c r="V132" i="12" s="1"/>
  <c r="U131" i="12"/>
  <c r="V131" i="12" s="1"/>
  <c r="U130" i="12"/>
  <c r="V130" i="12" s="1"/>
  <c r="U129" i="12"/>
  <c r="V129" i="12" s="1"/>
  <c r="U128" i="12"/>
  <c r="V128" i="12" s="1"/>
  <c r="U127" i="12"/>
  <c r="V127" i="12" s="1"/>
  <c r="U126" i="12"/>
  <c r="V126" i="12" s="1"/>
  <c r="U125" i="12"/>
  <c r="V125" i="12" s="1"/>
  <c r="U124" i="12"/>
  <c r="V124" i="12" s="1"/>
  <c r="U123" i="12"/>
  <c r="V123" i="12" s="1"/>
  <c r="U122" i="12"/>
  <c r="V122" i="12" s="1"/>
  <c r="U121" i="12"/>
  <c r="V121" i="12" s="1"/>
  <c r="U120" i="12"/>
  <c r="V120" i="12" s="1"/>
  <c r="U119" i="12"/>
  <c r="V119" i="12" s="1"/>
  <c r="U118" i="12"/>
  <c r="V118" i="12" s="1"/>
  <c r="U117" i="12"/>
  <c r="V117" i="12" s="1"/>
  <c r="U116" i="12"/>
  <c r="V116" i="12" s="1"/>
  <c r="U115" i="12"/>
  <c r="V115" i="12" s="1"/>
  <c r="U114" i="12"/>
  <c r="V114" i="12" s="1"/>
  <c r="U113" i="12"/>
  <c r="V113" i="12" s="1"/>
  <c r="U112" i="12"/>
  <c r="V112" i="12" s="1"/>
  <c r="U111" i="12"/>
  <c r="V111" i="12" s="1"/>
  <c r="U110" i="12"/>
  <c r="V110" i="12" s="1"/>
  <c r="U109" i="12"/>
  <c r="V109" i="12" s="1"/>
  <c r="U108" i="12"/>
  <c r="V108" i="12" s="1"/>
  <c r="U107" i="12"/>
  <c r="V107" i="12" s="1"/>
  <c r="U106" i="12"/>
  <c r="V106" i="12" s="1"/>
  <c r="U105" i="12"/>
  <c r="V105" i="12" s="1"/>
  <c r="U104" i="12"/>
  <c r="V104" i="12" s="1"/>
  <c r="U103" i="12"/>
  <c r="V103" i="12" s="1"/>
  <c r="U102" i="12"/>
  <c r="V102" i="12" s="1"/>
  <c r="U101" i="12"/>
  <c r="V101" i="12" s="1"/>
  <c r="U100" i="12"/>
  <c r="V100" i="12" s="1"/>
  <c r="U99" i="12"/>
  <c r="V99" i="12" s="1"/>
  <c r="U98" i="12"/>
  <c r="V98" i="12" s="1"/>
  <c r="U97" i="12"/>
  <c r="V97" i="12" s="1"/>
  <c r="U96" i="12"/>
  <c r="V96" i="12" s="1"/>
  <c r="U95" i="12"/>
  <c r="V95" i="12" s="1"/>
  <c r="U94" i="12"/>
  <c r="V94" i="12" s="1"/>
  <c r="U93" i="12"/>
  <c r="V93" i="12" s="1"/>
  <c r="U92" i="12"/>
  <c r="V92" i="12" s="1"/>
  <c r="U91" i="12"/>
  <c r="V91" i="12" s="1"/>
  <c r="U90" i="12"/>
  <c r="V90" i="12" s="1"/>
  <c r="U89" i="12"/>
  <c r="V89" i="12" s="1"/>
  <c r="U88" i="12"/>
  <c r="V88" i="12" s="1"/>
  <c r="U87" i="12"/>
  <c r="V87" i="12" s="1"/>
  <c r="U86" i="12"/>
  <c r="V86" i="12" s="1"/>
  <c r="U85" i="12"/>
  <c r="V85" i="12" s="1"/>
  <c r="U84" i="12"/>
  <c r="V84" i="12" s="1"/>
  <c r="U83" i="12"/>
  <c r="V83" i="12" s="1"/>
  <c r="U82" i="12"/>
  <c r="V82" i="12" s="1"/>
  <c r="U81" i="12"/>
  <c r="V81" i="12" s="1"/>
  <c r="U77" i="12"/>
  <c r="V77" i="12" s="1"/>
  <c r="U76" i="12"/>
  <c r="V76" i="12" s="1"/>
  <c r="U75" i="12"/>
  <c r="V75" i="12" s="1"/>
  <c r="U74" i="12"/>
  <c r="V74" i="12" s="1"/>
  <c r="U73" i="12"/>
  <c r="V73" i="12" s="1"/>
  <c r="U72" i="12"/>
  <c r="V72" i="12" s="1"/>
  <c r="U71" i="12"/>
  <c r="V71" i="12" s="1"/>
  <c r="U70" i="12"/>
  <c r="V70" i="12" s="1"/>
  <c r="U69" i="12"/>
  <c r="V69" i="12" s="1"/>
  <c r="U68" i="12"/>
  <c r="V68" i="12" s="1"/>
  <c r="U67" i="12"/>
  <c r="V67" i="12" s="1"/>
  <c r="U66" i="12"/>
  <c r="V66" i="12" s="1"/>
  <c r="U65" i="12"/>
  <c r="V65" i="12" s="1"/>
  <c r="U63" i="12"/>
  <c r="V63" i="12" s="1"/>
  <c r="U62" i="12"/>
  <c r="V62" i="12" s="1"/>
  <c r="U61" i="12"/>
  <c r="V61" i="12" s="1"/>
  <c r="U60" i="12"/>
  <c r="V60" i="12" s="1"/>
  <c r="U59" i="12"/>
  <c r="V59" i="12" s="1"/>
  <c r="U58" i="12"/>
  <c r="V58" i="12" s="1"/>
  <c r="U57" i="12"/>
  <c r="V57" i="12" s="1"/>
  <c r="U56" i="12"/>
  <c r="V56" i="12" s="1"/>
  <c r="U55" i="12"/>
  <c r="V55" i="12" s="1"/>
  <c r="U54" i="12"/>
  <c r="V54" i="12" s="1"/>
  <c r="U53" i="12"/>
  <c r="V53" i="12" s="1"/>
  <c r="U52" i="12"/>
  <c r="V52" i="12" s="1"/>
  <c r="U51" i="12"/>
  <c r="V51" i="12" s="1"/>
  <c r="U50" i="12"/>
  <c r="V50" i="12" s="1"/>
  <c r="U49" i="12"/>
  <c r="V49" i="12" s="1"/>
  <c r="U48" i="12"/>
  <c r="V48" i="12" s="1"/>
  <c r="U47" i="12"/>
  <c r="V47" i="12" s="1"/>
  <c r="U46" i="12"/>
  <c r="V46" i="12" s="1"/>
  <c r="U45" i="12"/>
  <c r="V45" i="12" s="1"/>
  <c r="U44" i="12"/>
  <c r="V44" i="12" s="1"/>
  <c r="U43" i="12"/>
  <c r="V43" i="12" s="1"/>
  <c r="U42" i="12"/>
  <c r="V42" i="12" s="1"/>
  <c r="U41" i="12"/>
  <c r="V41" i="12" s="1"/>
  <c r="U40" i="12"/>
  <c r="V40" i="12" s="1"/>
  <c r="U39" i="12"/>
  <c r="V39" i="12" s="1"/>
  <c r="U38" i="12"/>
  <c r="V38" i="12" s="1"/>
  <c r="U37" i="12"/>
  <c r="V37" i="12" s="1"/>
  <c r="U36" i="12"/>
  <c r="V36" i="12" s="1"/>
  <c r="U35" i="12"/>
  <c r="V35" i="12" s="1"/>
  <c r="U34" i="12"/>
  <c r="V34" i="12" s="1"/>
  <c r="U33" i="12"/>
  <c r="V33" i="12" s="1"/>
  <c r="U32" i="12"/>
  <c r="V32" i="12" s="1"/>
  <c r="U31" i="12"/>
  <c r="V31" i="12" s="1"/>
  <c r="U30" i="12"/>
  <c r="V30" i="12" s="1"/>
  <c r="U29" i="12"/>
  <c r="V29" i="12" s="1"/>
  <c r="U28" i="12"/>
  <c r="V28" i="12" s="1"/>
  <c r="U27" i="12"/>
  <c r="V27" i="12" s="1"/>
  <c r="U25" i="12"/>
  <c r="V25" i="12" s="1"/>
  <c r="U24" i="12"/>
  <c r="V24" i="12" s="1"/>
  <c r="U23" i="12"/>
  <c r="V23" i="12" s="1"/>
  <c r="U22" i="12"/>
  <c r="V22" i="12" s="1"/>
  <c r="U21" i="12"/>
  <c r="V21" i="12" s="1"/>
  <c r="U20" i="12"/>
  <c r="V20" i="12" s="1"/>
  <c r="U19" i="12"/>
  <c r="V19" i="12" s="1"/>
  <c r="U18" i="12"/>
  <c r="V18" i="12" s="1"/>
  <c r="U12" i="12"/>
  <c r="V12" i="12" s="1"/>
  <c r="U11" i="12"/>
  <c r="V11" i="12" s="1"/>
  <c r="U10" i="12"/>
  <c r="V10" i="12" s="1"/>
  <c r="U231" i="9"/>
  <c r="V231" i="9" s="1"/>
  <c r="U230" i="9"/>
  <c r="V230" i="9" s="1"/>
  <c r="U229" i="9"/>
  <c r="V229" i="9" s="1"/>
  <c r="U228" i="9"/>
  <c r="V228" i="9" s="1"/>
  <c r="U227" i="9"/>
  <c r="V227" i="9" s="1"/>
  <c r="U226" i="9"/>
  <c r="V226" i="9" s="1"/>
  <c r="U225" i="9"/>
  <c r="V225" i="9" s="1"/>
  <c r="U224" i="9"/>
  <c r="V224" i="9" s="1"/>
  <c r="U223" i="9"/>
  <c r="V223" i="9" s="1"/>
  <c r="U222" i="9"/>
  <c r="V222" i="9" s="1"/>
  <c r="U221" i="9"/>
  <c r="V221" i="9" s="1"/>
  <c r="U220" i="9"/>
  <c r="V220" i="9" s="1"/>
  <c r="U219" i="9"/>
  <c r="V219" i="9" s="1"/>
  <c r="U218" i="9"/>
  <c r="V218" i="9" s="1"/>
  <c r="U217" i="9"/>
  <c r="V217" i="9" s="1"/>
  <c r="U216" i="9"/>
  <c r="V216" i="9" s="1"/>
  <c r="U215" i="9"/>
  <c r="V215" i="9" s="1"/>
  <c r="U214" i="9"/>
  <c r="V214" i="9" s="1"/>
  <c r="U213" i="9"/>
  <c r="V213" i="9" s="1"/>
  <c r="U212" i="9"/>
  <c r="V212" i="9" s="1"/>
  <c r="U211" i="9"/>
  <c r="V211" i="9" s="1"/>
  <c r="U210" i="9"/>
  <c r="V210" i="9" s="1"/>
  <c r="U209" i="9"/>
  <c r="V209" i="9" s="1"/>
  <c r="U208" i="9"/>
  <c r="V208" i="9" s="1"/>
  <c r="U207" i="9"/>
  <c r="V207" i="9" s="1"/>
  <c r="U206" i="9"/>
  <c r="V206" i="9" s="1"/>
  <c r="U205" i="9"/>
  <c r="V205" i="9" s="1"/>
  <c r="U204" i="9"/>
  <c r="V204" i="9" s="1"/>
  <c r="U203" i="9"/>
  <c r="V203" i="9" s="1"/>
  <c r="U202" i="9"/>
  <c r="V202" i="9" s="1"/>
  <c r="U201" i="9"/>
  <c r="V201" i="9" s="1"/>
  <c r="U200" i="9"/>
  <c r="V200" i="9" s="1"/>
  <c r="U199" i="9"/>
  <c r="V199" i="9" s="1"/>
  <c r="U198" i="9"/>
  <c r="V198" i="9" s="1"/>
  <c r="U197" i="9"/>
  <c r="V197" i="9" s="1"/>
  <c r="U196" i="9"/>
  <c r="V196" i="9" s="1"/>
  <c r="U195" i="9"/>
  <c r="V195" i="9" s="1"/>
  <c r="U194" i="9"/>
  <c r="V194" i="9" s="1"/>
  <c r="U193" i="9"/>
  <c r="V193" i="9" s="1"/>
  <c r="U192" i="9"/>
  <c r="V192" i="9" s="1"/>
  <c r="U191" i="9"/>
  <c r="V191" i="9" s="1"/>
  <c r="U190" i="9"/>
  <c r="V190" i="9" s="1"/>
  <c r="U189" i="9"/>
  <c r="V189" i="9" s="1"/>
  <c r="U188" i="9"/>
  <c r="V188" i="9" s="1"/>
  <c r="U187" i="9"/>
  <c r="V187" i="9" s="1"/>
  <c r="U186" i="9"/>
  <c r="V186" i="9" s="1"/>
  <c r="U185" i="9"/>
  <c r="V185" i="9" s="1"/>
  <c r="U184" i="9"/>
  <c r="V184" i="9" s="1"/>
  <c r="U183" i="9"/>
  <c r="V183" i="9" s="1"/>
  <c r="U182" i="9"/>
  <c r="V182" i="9" s="1"/>
  <c r="U181" i="9"/>
  <c r="V181" i="9" s="1"/>
  <c r="U180" i="9"/>
  <c r="V180" i="9" s="1"/>
  <c r="U179" i="9"/>
  <c r="V179" i="9" s="1"/>
  <c r="U178" i="9"/>
  <c r="V178" i="9" s="1"/>
  <c r="U177" i="9"/>
  <c r="V177" i="9" s="1"/>
  <c r="U176" i="9"/>
  <c r="V176" i="9" s="1"/>
  <c r="U175" i="9"/>
  <c r="V175" i="9" s="1"/>
  <c r="U174" i="9"/>
  <c r="V174" i="9" s="1"/>
  <c r="U173" i="9"/>
  <c r="V173" i="9" s="1"/>
  <c r="U172" i="9"/>
  <c r="V172" i="9" s="1"/>
  <c r="U171" i="9"/>
  <c r="V171" i="9" s="1"/>
  <c r="U170" i="9"/>
  <c r="V170" i="9" s="1"/>
  <c r="U169" i="9"/>
  <c r="V169" i="9" s="1"/>
  <c r="U168" i="9"/>
  <c r="V168" i="9" s="1"/>
  <c r="U167" i="9"/>
  <c r="V167" i="9" s="1"/>
  <c r="U166" i="9"/>
  <c r="V166" i="9" s="1"/>
  <c r="U165" i="9"/>
  <c r="V165" i="9" s="1"/>
  <c r="U164" i="9"/>
  <c r="V164" i="9" s="1"/>
  <c r="U163" i="9"/>
  <c r="V163" i="9" s="1"/>
  <c r="U162" i="9"/>
  <c r="V162" i="9" s="1"/>
  <c r="U161" i="9"/>
  <c r="V161" i="9" s="1"/>
  <c r="U160" i="9"/>
  <c r="V160" i="9" s="1"/>
  <c r="U159" i="9"/>
  <c r="V159" i="9" s="1"/>
  <c r="U158" i="9"/>
  <c r="V158" i="9" s="1"/>
  <c r="U157" i="9"/>
  <c r="V157" i="9" s="1"/>
  <c r="U156" i="9"/>
  <c r="V156" i="9" s="1"/>
  <c r="U155" i="9"/>
  <c r="V155" i="9" s="1"/>
  <c r="U154" i="9"/>
  <c r="V154" i="9" s="1"/>
  <c r="U153" i="9"/>
  <c r="V153" i="9" s="1"/>
  <c r="U152" i="9"/>
  <c r="V152" i="9" s="1"/>
  <c r="U151" i="9"/>
  <c r="V151" i="9" s="1"/>
  <c r="U150" i="9"/>
  <c r="V150" i="9" s="1"/>
  <c r="U149" i="9"/>
  <c r="V149" i="9" s="1"/>
  <c r="U148" i="9"/>
  <c r="V148" i="9" s="1"/>
  <c r="U147" i="9"/>
  <c r="V147" i="9" s="1"/>
  <c r="U146" i="9"/>
  <c r="V146" i="9" s="1"/>
  <c r="U145" i="9"/>
  <c r="V145" i="9" s="1"/>
  <c r="U144" i="9"/>
  <c r="V144" i="9" s="1"/>
  <c r="U143" i="9"/>
  <c r="V143" i="9" s="1"/>
  <c r="U142" i="9"/>
  <c r="V142" i="9" s="1"/>
  <c r="U141" i="9"/>
  <c r="V141" i="9" s="1"/>
  <c r="U140" i="9"/>
  <c r="V140" i="9" s="1"/>
  <c r="U139" i="9"/>
  <c r="V139" i="9" s="1"/>
  <c r="U138" i="9"/>
  <c r="V138" i="9" s="1"/>
  <c r="U137" i="9"/>
  <c r="V137" i="9" s="1"/>
  <c r="U136" i="9"/>
  <c r="V136" i="9" s="1"/>
  <c r="U135" i="9"/>
  <c r="V135" i="9" s="1"/>
  <c r="U134" i="9"/>
  <c r="V134" i="9" s="1"/>
  <c r="U133" i="9"/>
  <c r="V133" i="9" s="1"/>
  <c r="U132" i="9"/>
  <c r="V132" i="9" s="1"/>
  <c r="U131" i="9"/>
  <c r="V131" i="9" s="1"/>
  <c r="U130" i="9"/>
  <c r="V130" i="9" s="1"/>
  <c r="U129" i="9"/>
  <c r="V129" i="9" s="1"/>
  <c r="U128" i="9"/>
  <c r="V128" i="9" s="1"/>
  <c r="U127" i="9"/>
  <c r="V127" i="9" s="1"/>
  <c r="U126" i="9"/>
  <c r="V126" i="9" s="1"/>
  <c r="U125" i="9"/>
  <c r="V125" i="9" s="1"/>
  <c r="U124" i="9"/>
  <c r="V124" i="9" s="1"/>
  <c r="U123" i="9"/>
  <c r="V123" i="9" s="1"/>
  <c r="U122" i="9"/>
  <c r="V122" i="9" s="1"/>
  <c r="U121" i="9"/>
  <c r="V121" i="9" s="1"/>
  <c r="U120" i="9"/>
  <c r="V120" i="9" s="1"/>
  <c r="U119" i="9"/>
  <c r="V119" i="9" s="1"/>
  <c r="U118" i="9"/>
  <c r="V118" i="9" s="1"/>
  <c r="U117" i="9"/>
  <c r="V117" i="9" s="1"/>
  <c r="U116" i="9"/>
  <c r="V116" i="9" s="1"/>
  <c r="U115" i="9"/>
  <c r="V115" i="9" s="1"/>
  <c r="U114" i="9"/>
  <c r="V114" i="9" s="1"/>
  <c r="U113" i="9"/>
  <c r="V113" i="9" s="1"/>
  <c r="U112" i="9"/>
  <c r="V112" i="9" s="1"/>
  <c r="U111" i="9"/>
  <c r="V111" i="9" s="1"/>
  <c r="U110" i="9"/>
  <c r="V110" i="9" s="1"/>
  <c r="U109" i="9"/>
  <c r="V109" i="9" s="1"/>
  <c r="U108" i="9"/>
  <c r="V108" i="9" s="1"/>
  <c r="U107" i="9"/>
  <c r="V107" i="9" s="1"/>
  <c r="U106" i="9"/>
  <c r="V106" i="9" s="1"/>
  <c r="U105" i="9"/>
  <c r="V105" i="9" s="1"/>
  <c r="U104" i="9"/>
  <c r="V104" i="9" s="1"/>
  <c r="U103" i="9"/>
  <c r="V103" i="9" s="1"/>
  <c r="U102" i="9"/>
  <c r="V102" i="9" s="1"/>
  <c r="U101" i="9"/>
  <c r="V101" i="9" s="1"/>
  <c r="U100" i="9"/>
  <c r="V100" i="9" s="1"/>
  <c r="U99" i="9"/>
  <c r="V99" i="9" s="1"/>
  <c r="U98" i="9"/>
  <c r="V98" i="9" s="1"/>
  <c r="U97" i="9"/>
  <c r="V97" i="9" s="1"/>
  <c r="U96" i="9"/>
  <c r="V96" i="9" s="1"/>
  <c r="U95" i="9"/>
  <c r="V95" i="9" s="1"/>
  <c r="U94" i="9"/>
  <c r="V94" i="9" s="1"/>
  <c r="U93" i="9"/>
  <c r="V93" i="9" s="1"/>
  <c r="U92" i="9"/>
  <c r="V92" i="9" s="1"/>
  <c r="U91" i="9"/>
  <c r="V91" i="9" s="1"/>
  <c r="U90" i="9"/>
  <c r="V90" i="9" s="1"/>
  <c r="U89" i="9"/>
  <c r="V89" i="9" s="1"/>
  <c r="U88" i="9"/>
  <c r="V88" i="9" s="1"/>
  <c r="U87" i="9"/>
  <c r="V87" i="9" s="1"/>
  <c r="U86" i="9"/>
  <c r="V86" i="9" s="1"/>
  <c r="U85" i="9"/>
  <c r="V85" i="9" s="1"/>
  <c r="U84" i="9"/>
  <c r="V84" i="9" s="1"/>
  <c r="U83" i="9"/>
  <c r="V83" i="9" s="1"/>
  <c r="U82" i="9"/>
  <c r="V82" i="9" s="1"/>
  <c r="U78" i="9"/>
  <c r="V78" i="9" s="1"/>
  <c r="U77" i="9"/>
  <c r="V77" i="9" s="1"/>
  <c r="U76" i="9"/>
  <c r="V76" i="9" s="1"/>
  <c r="U75" i="9"/>
  <c r="V75" i="9" s="1"/>
  <c r="U74" i="9"/>
  <c r="V74" i="9" s="1"/>
  <c r="U73" i="9"/>
  <c r="V73" i="9" s="1"/>
  <c r="U72" i="9"/>
  <c r="V72" i="9" s="1"/>
  <c r="U71" i="9"/>
  <c r="V71" i="9" s="1"/>
  <c r="U70" i="9"/>
  <c r="V70" i="9" s="1"/>
  <c r="U69" i="9"/>
  <c r="V69" i="9" s="1"/>
  <c r="U68" i="9"/>
  <c r="V68" i="9" s="1"/>
  <c r="U67" i="9"/>
  <c r="V67" i="9" s="1"/>
  <c r="U65" i="9"/>
  <c r="V65" i="9" s="1"/>
  <c r="U64" i="9"/>
  <c r="V64" i="9" s="1"/>
  <c r="U63" i="9"/>
  <c r="V63" i="9" s="1"/>
  <c r="U62" i="9"/>
  <c r="V62" i="9" s="1"/>
  <c r="U61" i="9"/>
  <c r="V61" i="9" s="1"/>
  <c r="U60" i="9"/>
  <c r="V60" i="9" s="1"/>
  <c r="U59" i="9"/>
  <c r="V59" i="9" s="1"/>
  <c r="U58" i="9"/>
  <c r="V58" i="9" s="1"/>
  <c r="U57" i="9"/>
  <c r="V57" i="9" s="1"/>
  <c r="U56" i="9"/>
  <c r="V56" i="9" s="1"/>
  <c r="U55" i="9"/>
  <c r="V55" i="9" s="1"/>
  <c r="U54" i="9"/>
  <c r="V54" i="9" s="1"/>
  <c r="U53" i="9"/>
  <c r="V53" i="9" s="1"/>
  <c r="U52" i="9"/>
  <c r="V52" i="9" s="1"/>
  <c r="U51" i="9"/>
  <c r="V51" i="9" s="1"/>
  <c r="U50" i="9"/>
  <c r="V50" i="9" s="1"/>
  <c r="U49" i="9"/>
  <c r="V49" i="9" s="1"/>
  <c r="U48" i="9"/>
  <c r="V48" i="9" s="1"/>
  <c r="U47" i="9"/>
  <c r="V47" i="9" s="1"/>
  <c r="U46" i="9"/>
  <c r="V46" i="9" s="1"/>
  <c r="U45" i="9"/>
  <c r="V45" i="9" s="1"/>
  <c r="U42" i="9"/>
  <c r="V42" i="9" s="1"/>
  <c r="U40" i="9"/>
  <c r="V40" i="9" s="1"/>
  <c r="U39" i="9"/>
  <c r="V39" i="9" s="1"/>
  <c r="U37" i="9"/>
  <c r="V37" i="9" s="1"/>
  <c r="U35" i="9"/>
  <c r="V35" i="9" s="1"/>
  <c r="U34" i="9"/>
  <c r="V34" i="9" s="1"/>
  <c r="U31" i="9"/>
  <c r="V31" i="9" s="1"/>
  <c r="U29" i="9"/>
  <c r="V29" i="9" s="1"/>
  <c r="U28" i="9"/>
  <c r="V28" i="9" s="1"/>
  <c r="U12" i="9"/>
  <c r="V12" i="9" s="1"/>
  <c r="T77" i="11"/>
  <c r="T76" i="11"/>
  <c r="T75" i="11"/>
  <c r="T74" i="11"/>
  <c r="T73" i="11"/>
  <c r="T72" i="11"/>
  <c r="T71" i="11"/>
  <c r="T70" i="11"/>
  <c r="T69" i="11"/>
  <c r="T67" i="11"/>
  <c r="T47" i="11"/>
  <c r="T39" i="11"/>
  <c r="T37" i="11"/>
  <c r="T33" i="11"/>
  <c r="T27" i="11"/>
  <c r="T18" i="11"/>
  <c r="T36" i="11"/>
  <c r="U36" i="11" s="1"/>
  <c r="V36" i="11" s="1"/>
  <c r="T44" i="9" l="1"/>
  <c r="U44" i="9" s="1"/>
  <c r="V44" i="9" s="1"/>
  <c r="T43" i="9"/>
  <c r="U43" i="9" s="1"/>
  <c r="V43" i="9" s="1"/>
  <c r="T41" i="9"/>
  <c r="U41" i="9" s="1"/>
  <c r="V41" i="9" s="1"/>
  <c r="T38" i="9"/>
  <c r="U38" i="9" s="1"/>
  <c r="V38" i="9" s="1"/>
  <c r="T36" i="9"/>
  <c r="U36" i="9" s="1"/>
  <c r="V36" i="9" s="1"/>
  <c r="T33" i="9"/>
  <c r="U33" i="9" s="1"/>
  <c r="V33" i="9" s="1"/>
  <c r="T32" i="9"/>
  <c r="U32" i="9" s="1"/>
  <c r="V32" i="9" s="1"/>
  <c r="T30" i="9"/>
  <c r="U30" i="9" s="1"/>
  <c r="V30" i="9" s="1"/>
  <c r="T27" i="9"/>
  <c r="U27" i="9" s="1"/>
  <c r="V27" i="9" s="1"/>
  <c r="T18" i="9"/>
  <c r="U18" i="9" s="1"/>
  <c r="V18" i="9" s="1"/>
  <c r="U244" i="8"/>
  <c r="V244" i="8" s="1"/>
  <c r="U243" i="8"/>
  <c r="V243" i="8" s="1"/>
  <c r="U242" i="8"/>
  <c r="V242" i="8" s="1"/>
  <c r="U241" i="8"/>
  <c r="V241" i="8" s="1"/>
  <c r="U240" i="8"/>
  <c r="V240" i="8" s="1"/>
  <c r="U239" i="8"/>
  <c r="V239" i="8" s="1"/>
  <c r="U238" i="8"/>
  <c r="V238" i="8" s="1"/>
  <c r="U237" i="8"/>
  <c r="V237" i="8" s="1"/>
  <c r="U236" i="8"/>
  <c r="V236" i="8" s="1"/>
  <c r="U235" i="8"/>
  <c r="V235" i="8" s="1"/>
  <c r="U234" i="8"/>
  <c r="V234" i="8" s="1"/>
  <c r="U233" i="8"/>
  <c r="V233" i="8" s="1"/>
  <c r="U232" i="8"/>
  <c r="V232" i="8" s="1"/>
  <c r="U231" i="8"/>
  <c r="V231" i="8" s="1"/>
  <c r="U230" i="8"/>
  <c r="V230" i="8" s="1"/>
  <c r="U229" i="8"/>
  <c r="V229" i="8" s="1"/>
  <c r="U228" i="8"/>
  <c r="V228" i="8" s="1"/>
  <c r="U227" i="8"/>
  <c r="V227" i="8" s="1"/>
  <c r="U226" i="8"/>
  <c r="V226" i="8" s="1"/>
  <c r="U225" i="8"/>
  <c r="V225" i="8" s="1"/>
  <c r="U224" i="8"/>
  <c r="V224" i="8" s="1"/>
  <c r="U223" i="8"/>
  <c r="V223" i="8" s="1"/>
  <c r="U222" i="8"/>
  <c r="V222" i="8" s="1"/>
  <c r="U221" i="8"/>
  <c r="V221" i="8" s="1"/>
  <c r="U220" i="8"/>
  <c r="V220" i="8" s="1"/>
  <c r="U219" i="8"/>
  <c r="V219" i="8" s="1"/>
  <c r="U218" i="8"/>
  <c r="V218" i="8" s="1"/>
  <c r="U217" i="8"/>
  <c r="V217" i="8" s="1"/>
  <c r="U216" i="8"/>
  <c r="V216" i="8" s="1"/>
  <c r="U215" i="8"/>
  <c r="V215" i="8" s="1"/>
  <c r="U214" i="8"/>
  <c r="V214" i="8" s="1"/>
  <c r="U213" i="8"/>
  <c r="V213" i="8" s="1"/>
  <c r="U212" i="8"/>
  <c r="V212" i="8" s="1"/>
  <c r="U211" i="8"/>
  <c r="V211" i="8" s="1"/>
  <c r="U210" i="8"/>
  <c r="V210" i="8" s="1"/>
  <c r="U209" i="8"/>
  <c r="V209" i="8" s="1"/>
  <c r="U208" i="8"/>
  <c r="V208" i="8" s="1"/>
  <c r="U207" i="8"/>
  <c r="V207" i="8" s="1"/>
  <c r="U206" i="8"/>
  <c r="V206" i="8" s="1"/>
  <c r="U205" i="8"/>
  <c r="V205" i="8" s="1"/>
  <c r="U204" i="8"/>
  <c r="V204" i="8" s="1"/>
  <c r="U203" i="8"/>
  <c r="V203" i="8" s="1"/>
  <c r="U202" i="8"/>
  <c r="V202" i="8" s="1"/>
  <c r="U201" i="8"/>
  <c r="V201" i="8" s="1"/>
  <c r="U200" i="8"/>
  <c r="V200" i="8" s="1"/>
  <c r="U199" i="8"/>
  <c r="V199" i="8" s="1"/>
  <c r="U198" i="8"/>
  <c r="V198" i="8" s="1"/>
  <c r="U197" i="8"/>
  <c r="V197" i="8" s="1"/>
  <c r="U196" i="8"/>
  <c r="V196" i="8" s="1"/>
  <c r="U195" i="8"/>
  <c r="V195" i="8" s="1"/>
  <c r="U194" i="8"/>
  <c r="V194" i="8" s="1"/>
  <c r="U193" i="8"/>
  <c r="V193" i="8" s="1"/>
  <c r="U192" i="8"/>
  <c r="V192" i="8" s="1"/>
  <c r="U191" i="8"/>
  <c r="V191" i="8" s="1"/>
  <c r="U190" i="8"/>
  <c r="V190" i="8" s="1"/>
  <c r="U189" i="8"/>
  <c r="V189" i="8" s="1"/>
  <c r="U188" i="8"/>
  <c r="V188" i="8" s="1"/>
  <c r="U187" i="8"/>
  <c r="V187" i="8" s="1"/>
  <c r="U186" i="8"/>
  <c r="V186" i="8" s="1"/>
  <c r="U185" i="8"/>
  <c r="V185" i="8" s="1"/>
  <c r="U184" i="8"/>
  <c r="V184" i="8" s="1"/>
  <c r="U183" i="8"/>
  <c r="V183" i="8" s="1"/>
  <c r="U182" i="8"/>
  <c r="V182" i="8" s="1"/>
  <c r="U181" i="8"/>
  <c r="V181" i="8" s="1"/>
  <c r="U180" i="8"/>
  <c r="V180" i="8" s="1"/>
  <c r="U179" i="8"/>
  <c r="V179" i="8" s="1"/>
  <c r="U178" i="8"/>
  <c r="V178" i="8" s="1"/>
  <c r="U177" i="8"/>
  <c r="V177" i="8" s="1"/>
  <c r="U176" i="8"/>
  <c r="V176" i="8" s="1"/>
  <c r="U175" i="8"/>
  <c r="V175" i="8" s="1"/>
  <c r="U174" i="8"/>
  <c r="V174" i="8" s="1"/>
  <c r="U173" i="8"/>
  <c r="V173" i="8" s="1"/>
  <c r="U172" i="8"/>
  <c r="V172" i="8" s="1"/>
  <c r="U171" i="8"/>
  <c r="V171" i="8" s="1"/>
  <c r="U170" i="8"/>
  <c r="V170" i="8" s="1"/>
  <c r="U169" i="8"/>
  <c r="V169" i="8" s="1"/>
  <c r="U168" i="8"/>
  <c r="V168" i="8" s="1"/>
  <c r="U167" i="8"/>
  <c r="V167" i="8" s="1"/>
  <c r="U166" i="8"/>
  <c r="V166" i="8" s="1"/>
  <c r="U165" i="8"/>
  <c r="V165" i="8" s="1"/>
  <c r="U164" i="8"/>
  <c r="V164" i="8" s="1"/>
  <c r="U163" i="8"/>
  <c r="V163" i="8" s="1"/>
  <c r="U162" i="8"/>
  <c r="V162" i="8" s="1"/>
  <c r="U161" i="8"/>
  <c r="V161" i="8" s="1"/>
  <c r="U160" i="8"/>
  <c r="V160" i="8" s="1"/>
  <c r="U159" i="8"/>
  <c r="V159" i="8" s="1"/>
  <c r="U158" i="8"/>
  <c r="V158" i="8" s="1"/>
  <c r="U157" i="8"/>
  <c r="V157" i="8" s="1"/>
  <c r="U156" i="8"/>
  <c r="V156" i="8" s="1"/>
  <c r="U155" i="8"/>
  <c r="V155" i="8" s="1"/>
  <c r="U154" i="8"/>
  <c r="V154" i="8" s="1"/>
  <c r="U153" i="8"/>
  <c r="V153" i="8" s="1"/>
  <c r="U152" i="8"/>
  <c r="V152" i="8" s="1"/>
  <c r="U151" i="8"/>
  <c r="V151" i="8" s="1"/>
  <c r="U150" i="8"/>
  <c r="V150" i="8" s="1"/>
  <c r="U149" i="8"/>
  <c r="V149" i="8" s="1"/>
  <c r="U148" i="8"/>
  <c r="V148" i="8" s="1"/>
  <c r="U147" i="8"/>
  <c r="V147" i="8" s="1"/>
  <c r="U146" i="8"/>
  <c r="V146" i="8" s="1"/>
  <c r="U145" i="8"/>
  <c r="V145" i="8" s="1"/>
  <c r="U144" i="8"/>
  <c r="V144" i="8" s="1"/>
  <c r="U143" i="8"/>
  <c r="V143" i="8" s="1"/>
  <c r="U142" i="8"/>
  <c r="V142" i="8" s="1"/>
  <c r="U141" i="8"/>
  <c r="V141" i="8" s="1"/>
  <c r="U140" i="8"/>
  <c r="V140" i="8" s="1"/>
  <c r="U139" i="8"/>
  <c r="V139" i="8" s="1"/>
  <c r="U138" i="8"/>
  <c r="V138" i="8" s="1"/>
  <c r="U137" i="8"/>
  <c r="V137" i="8" s="1"/>
  <c r="U136" i="8"/>
  <c r="V136" i="8" s="1"/>
  <c r="U135" i="8"/>
  <c r="V135" i="8" s="1"/>
  <c r="U134" i="8"/>
  <c r="V134" i="8" s="1"/>
  <c r="U133" i="8"/>
  <c r="V133" i="8" s="1"/>
  <c r="U132" i="8"/>
  <c r="V132" i="8" s="1"/>
  <c r="U131" i="8"/>
  <c r="V131" i="8" s="1"/>
  <c r="U130" i="8"/>
  <c r="V130" i="8" s="1"/>
  <c r="U129" i="8"/>
  <c r="V129" i="8" s="1"/>
  <c r="U128" i="8"/>
  <c r="V128" i="8" s="1"/>
  <c r="U127" i="8"/>
  <c r="V127" i="8" s="1"/>
  <c r="U126" i="8"/>
  <c r="V126" i="8" s="1"/>
  <c r="U125" i="8"/>
  <c r="V125" i="8" s="1"/>
  <c r="U124" i="8"/>
  <c r="V124" i="8" s="1"/>
  <c r="U123" i="8"/>
  <c r="V123" i="8" s="1"/>
  <c r="U122" i="8"/>
  <c r="V122" i="8" s="1"/>
  <c r="U121" i="8"/>
  <c r="V121" i="8" s="1"/>
  <c r="U120" i="8"/>
  <c r="V120" i="8" s="1"/>
  <c r="U119" i="8"/>
  <c r="V119" i="8" s="1"/>
  <c r="U118" i="8"/>
  <c r="V118" i="8" s="1"/>
  <c r="U117" i="8"/>
  <c r="V117" i="8" s="1"/>
  <c r="U116" i="8"/>
  <c r="V116" i="8" s="1"/>
  <c r="U115" i="8"/>
  <c r="V115" i="8" s="1"/>
  <c r="U114" i="8"/>
  <c r="V114" i="8" s="1"/>
  <c r="U113" i="8"/>
  <c r="V113" i="8" s="1"/>
  <c r="U112" i="8"/>
  <c r="V112" i="8" s="1"/>
  <c r="U111" i="8"/>
  <c r="V111" i="8" s="1"/>
  <c r="U110" i="8"/>
  <c r="V110" i="8" s="1"/>
  <c r="U109" i="8"/>
  <c r="V109" i="8" s="1"/>
  <c r="U108" i="8"/>
  <c r="V108" i="8" s="1"/>
  <c r="U107" i="8"/>
  <c r="V107" i="8" s="1"/>
  <c r="U106" i="8"/>
  <c r="V106" i="8" s="1"/>
  <c r="U105" i="8"/>
  <c r="V105" i="8" s="1"/>
  <c r="U104" i="8"/>
  <c r="V104" i="8" s="1"/>
  <c r="U103" i="8"/>
  <c r="V103" i="8" s="1"/>
  <c r="U102" i="8"/>
  <c r="V102" i="8" s="1"/>
  <c r="U101" i="8"/>
  <c r="V101" i="8" s="1"/>
  <c r="U100" i="8"/>
  <c r="V100" i="8" s="1"/>
  <c r="U99" i="8"/>
  <c r="V99" i="8" s="1"/>
  <c r="U98" i="8"/>
  <c r="V98" i="8" s="1"/>
  <c r="U97" i="8"/>
  <c r="V97" i="8" s="1"/>
  <c r="U96" i="8"/>
  <c r="V96" i="8" s="1"/>
  <c r="U95" i="8"/>
  <c r="V95" i="8" s="1"/>
  <c r="U94" i="8"/>
  <c r="V94" i="8" s="1"/>
  <c r="U93" i="8"/>
  <c r="V93" i="8" s="1"/>
  <c r="U92" i="8"/>
  <c r="V92" i="8" s="1"/>
  <c r="U91" i="8"/>
  <c r="V91" i="8" s="1"/>
  <c r="U87" i="8"/>
  <c r="V87" i="8" s="1"/>
  <c r="U85" i="8"/>
  <c r="V85" i="8" s="1"/>
  <c r="U83" i="8"/>
  <c r="V83" i="8" s="1"/>
  <c r="U72" i="8"/>
  <c r="V72" i="8" s="1"/>
  <c r="U71" i="8"/>
  <c r="V71" i="8" s="1"/>
  <c r="U70" i="8"/>
  <c r="V70" i="8" s="1"/>
  <c r="U68" i="8"/>
  <c r="V68" i="8" s="1"/>
  <c r="U67" i="8"/>
  <c r="V67" i="8" s="1"/>
  <c r="U66" i="8"/>
  <c r="V66" i="8" s="1"/>
  <c r="U65" i="8"/>
  <c r="V65" i="8" s="1"/>
  <c r="U64" i="8"/>
  <c r="V64" i="8" s="1"/>
  <c r="U62" i="8"/>
  <c r="V62" i="8" s="1"/>
  <c r="U61" i="8"/>
  <c r="V61" i="8" s="1"/>
  <c r="U60" i="8"/>
  <c r="V60" i="8" s="1"/>
  <c r="U58" i="8"/>
  <c r="V58" i="8" s="1"/>
  <c r="U57" i="8"/>
  <c r="V57" i="8" s="1"/>
  <c r="U56" i="8"/>
  <c r="V56" i="8" s="1"/>
  <c r="U55" i="8"/>
  <c r="V55" i="8" s="1"/>
  <c r="U54" i="8"/>
  <c r="V54" i="8" s="1"/>
  <c r="U52" i="8"/>
  <c r="V52" i="8" s="1"/>
  <c r="U51" i="8"/>
  <c r="V51" i="8" s="1"/>
  <c r="U43" i="8"/>
  <c r="V43" i="8" s="1"/>
  <c r="U40" i="8"/>
  <c r="V40" i="8" s="1"/>
  <c r="U38" i="8"/>
  <c r="V38" i="8" s="1"/>
  <c r="U34" i="8"/>
  <c r="V34" i="8" s="1"/>
  <c r="U33" i="8"/>
  <c r="V33" i="8" s="1"/>
  <c r="U31" i="8"/>
  <c r="V31" i="8" s="1"/>
  <c r="U30" i="8"/>
  <c r="V30" i="8" s="1"/>
  <c r="U28" i="8"/>
  <c r="V28" i="8" s="1"/>
  <c r="U12" i="8"/>
  <c r="V12" i="8" s="1"/>
  <c r="U11" i="8"/>
  <c r="V11" i="8" s="1"/>
  <c r="T75" i="8"/>
  <c r="S75" i="8"/>
  <c r="T18" i="8"/>
  <c r="T86" i="8"/>
  <c r="T84" i="8"/>
  <c r="T82" i="8"/>
  <c r="T81" i="8"/>
  <c r="T80" i="8"/>
  <c r="T79" i="8"/>
  <c r="T78" i="8"/>
  <c r="T77" i="8"/>
  <c r="T76" i="8"/>
  <c r="T74" i="8"/>
  <c r="T63" i="8"/>
  <c r="T59" i="8"/>
  <c r="T53" i="8"/>
  <c r="T50" i="8"/>
  <c r="T45" i="8"/>
  <c r="T41" i="8"/>
  <c r="T39" i="8"/>
  <c r="T36" i="8"/>
  <c r="T35" i="8"/>
  <c r="T29" i="8"/>
  <c r="T27" i="8"/>
  <c r="T44" i="8"/>
  <c r="U44" i="8" s="1"/>
  <c r="V44" i="8" s="1"/>
  <c r="T37" i="8"/>
  <c r="U37" i="8" s="1"/>
  <c r="V37" i="8" s="1"/>
  <c r="T32" i="8"/>
  <c r="U234" i="7"/>
  <c r="V234" i="7" s="1"/>
  <c r="U233" i="7"/>
  <c r="V233" i="7" s="1"/>
  <c r="U232" i="7"/>
  <c r="V232" i="7" s="1"/>
  <c r="U231" i="7"/>
  <c r="V231" i="7" s="1"/>
  <c r="U230" i="7"/>
  <c r="V230" i="7" s="1"/>
  <c r="U229" i="7"/>
  <c r="V229" i="7" s="1"/>
  <c r="U228" i="7"/>
  <c r="V228" i="7" s="1"/>
  <c r="U227" i="7"/>
  <c r="V227" i="7" s="1"/>
  <c r="U226" i="7"/>
  <c r="V226" i="7" s="1"/>
  <c r="U225" i="7"/>
  <c r="V225" i="7" s="1"/>
  <c r="U224" i="7"/>
  <c r="V224" i="7" s="1"/>
  <c r="U223" i="7"/>
  <c r="V223" i="7" s="1"/>
  <c r="U222" i="7"/>
  <c r="V222" i="7" s="1"/>
  <c r="U221" i="7"/>
  <c r="V221" i="7" s="1"/>
  <c r="U220" i="7"/>
  <c r="V220" i="7" s="1"/>
  <c r="U219" i="7"/>
  <c r="V219" i="7" s="1"/>
  <c r="U218" i="7"/>
  <c r="V218" i="7" s="1"/>
  <c r="U217" i="7"/>
  <c r="V217" i="7" s="1"/>
  <c r="U216" i="7"/>
  <c r="V216" i="7" s="1"/>
  <c r="U215" i="7"/>
  <c r="V215" i="7" s="1"/>
  <c r="U214" i="7"/>
  <c r="V214" i="7" s="1"/>
  <c r="U213" i="7"/>
  <c r="V213" i="7" s="1"/>
  <c r="U212" i="7"/>
  <c r="V212" i="7" s="1"/>
  <c r="U211" i="7"/>
  <c r="V211" i="7" s="1"/>
  <c r="U210" i="7"/>
  <c r="V210" i="7" s="1"/>
  <c r="U209" i="7"/>
  <c r="V209" i="7" s="1"/>
  <c r="U208" i="7"/>
  <c r="V208" i="7" s="1"/>
  <c r="U207" i="7"/>
  <c r="V207" i="7" s="1"/>
  <c r="U206" i="7"/>
  <c r="V206" i="7" s="1"/>
  <c r="U205" i="7"/>
  <c r="V205" i="7" s="1"/>
  <c r="U204" i="7"/>
  <c r="V204" i="7" s="1"/>
  <c r="U203" i="7"/>
  <c r="V203" i="7" s="1"/>
  <c r="U202" i="7"/>
  <c r="V202" i="7" s="1"/>
  <c r="U201" i="7"/>
  <c r="V201" i="7" s="1"/>
  <c r="U200" i="7"/>
  <c r="V200" i="7" s="1"/>
  <c r="U199" i="7"/>
  <c r="V199" i="7" s="1"/>
  <c r="U198" i="7"/>
  <c r="V198" i="7" s="1"/>
  <c r="U197" i="7"/>
  <c r="V197" i="7" s="1"/>
  <c r="U196" i="7"/>
  <c r="V196" i="7" s="1"/>
  <c r="U195" i="7"/>
  <c r="V195" i="7" s="1"/>
  <c r="U194" i="7"/>
  <c r="V194" i="7" s="1"/>
  <c r="U193" i="7"/>
  <c r="V193" i="7" s="1"/>
  <c r="U192" i="7"/>
  <c r="V192" i="7" s="1"/>
  <c r="U191" i="7"/>
  <c r="V191" i="7" s="1"/>
  <c r="U190" i="7"/>
  <c r="V190" i="7" s="1"/>
  <c r="U189" i="7"/>
  <c r="V189" i="7" s="1"/>
  <c r="U188" i="7"/>
  <c r="V188" i="7" s="1"/>
  <c r="U187" i="7"/>
  <c r="V187" i="7" s="1"/>
  <c r="U186" i="7"/>
  <c r="V186" i="7" s="1"/>
  <c r="U185" i="7"/>
  <c r="V185" i="7" s="1"/>
  <c r="U184" i="7"/>
  <c r="V184" i="7" s="1"/>
  <c r="U183" i="7"/>
  <c r="V183" i="7" s="1"/>
  <c r="U182" i="7"/>
  <c r="V182" i="7" s="1"/>
  <c r="U181" i="7"/>
  <c r="V181" i="7" s="1"/>
  <c r="U180" i="7"/>
  <c r="V180" i="7" s="1"/>
  <c r="U179" i="7"/>
  <c r="V179" i="7" s="1"/>
  <c r="U178" i="7"/>
  <c r="V178" i="7" s="1"/>
  <c r="U177" i="7"/>
  <c r="V177" i="7" s="1"/>
  <c r="U176" i="7"/>
  <c r="V176" i="7" s="1"/>
  <c r="U175" i="7"/>
  <c r="V175" i="7" s="1"/>
  <c r="U174" i="7"/>
  <c r="V174" i="7" s="1"/>
  <c r="U173" i="7"/>
  <c r="V173" i="7" s="1"/>
  <c r="U172" i="7"/>
  <c r="V172" i="7" s="1"/>
  <c r="U171" i="7"/>
  <c r="V171" i="7" s="1"/>
  <c r="U170" i="7"/>
  <c r="V170" i="7" s="1"/>
  <c r="U169" i="7"/>
  <c r="V169" i="7" s="1"/>
  <c r="U168" i="7"/>
  <c r="V168" i="7" s="1"/>
  <c r="U167" i="7"/>
  <c r="V167" i="7" s="1"/>
  <c r="U166" i="7"/>
  <c r="V166" i="7" s="1"/>
  <c r="U165" i="7"/>
  <c r="V165" i="7" s="1"/>
  <c r="U164" i="7"/>
  <c r="V164" i="7" s="1"/>
  <c r="U163" i="7"/>
  <c r="V163" i="7" s="1"/>
  <c r="U162" i="7"/>
  <c r="V162" i="7" s="1"/>
  <c r="U161" i="7"/>
  <c r="V161" i="7" s="1"/>
  <c r="U160" i="7"/>
  <c r="V160" i="7" s="1"/>
  <c r="U159" i="7"/>
  <c r="V159" i="7" s="1"/>
  <c r="U158" i="7"/>
  <c r="V158" i="7" s="1"/>
  <c r="U157" i="7"/>
  <c r="V157" i="7" s="1"/>
  <c r="U156" i="7"/>
  <c r="V156" i="7" s="1"/>
  <c r="U155" i="7"/>
  <c r="V155" i="7" s="1"/>
  <c r="U154" i="7"/>
  <c r="V154" i="7" s="1"/>
  <c r="U153" i="7"/>
  <c r="V153" i="7" s="1"/>
  <c r="U152" i="7"/>
  <c r="V152" i="7" s="1"/>
  <c r="U151" i="7"/>
  <c r="V151" i="7" s="1"/>
  <c r="U150" i="7"/>
  <c r="V150" i="7" s="1"/>
  <c r="U149" i="7"/>
  <c r="V149" i="7" s="1"/>
  <c r="U148" i="7"/>
  <c r="V148" i="7" s="1"/>
  <c r="U147" i="7"/>
  <c r="V147" i="7" s="1"/>
  <c r="U146" i="7"/>
  <c r="V146" i="7" s="1"/>
  <c r="U145" i="7"/>
  <c r="V145" i="7" s="1"/>
  <c r="U144" i="7"/>
  <c r="V144" i="7" s="1"/>
  <c r="U143" i="7"/>
  <c r="V143" i="7" s="1"/>
  <c r="U142" i="7"/>
  <c r="V142" i="7" s="1"/>
  <c r="U141" i="7"/>
  <c r="V141" i="7" s="1"/>
  <c r="U140" i="7"/>
  <c r="V140" i="7" s="1"/>
  <c r="U139" i="7"/>
  <c r="V139" i="7" s="1"/>
  <c r="U138" i="7"/>
  <c r="V138" i="7" s="1"/>
  <c r="U137" i="7"/>
  <c r="V137" i="7" s="1"/>
  <c r="U136" i="7"/>
  <c r="V136" i="7" s="1"/>
  <c r="U135" i="7"/>
  <c r="V135" i="7" s="1"/>
  <c r="U134" i="7"/>
  <c r="V134" i="7" s="1"/>
  <c r="U133" i="7"/>
  <c r="V133" i="7" s="1"/>
  <c r="U132" i="7"/>
  <c r="V132" i="7" s="1"/>
  <c r="U131" i="7"/>
  <c r="V131" i="7" s="1"/>
  <c r="U130" i="7"/>
  <c r="V130" i="7" s="1"/>
  <c r="U129" i="7"/>
  <c r="V129" i="7" s="1"/>
  <c r="U128" i="7"/>
  <c r="V128" i="7" s="1"/>
  <c r="U127" i="7"/>
  <c r="V127" i="7" s="1"/>
  <c r="U126" i="7"/>
  <c r="V126" i="7" s="1"/>
  <c r="U125" i="7"/>
  <c r="V125" i="7" s="1"/>
  <c r="U124" i="7"/>
  <c r="V124" i="7" s="1"/>
  <c r="U123" i="7"/>
  <c r="V123" i="7" s="1"/>
  <c r="U122" i="7"/>
  <c r="V122" i="7" s="1"/>
  <c r="U121" i="7"/>
  <c r="V121" i="7" s="1"/>
  <c r="U120" i="7"/>
  <c r="V120" i="7" s="1"/>
  <c r="U119" i="7"/>
  <c r="V119" i="7" s="1"/>
  <c r="U118" i="7"/>
  <c r="V118" i="7" s="1"/>
  <c r="U117" i="7"/>
  <c r="V117" i="7" s="1"/>
  <c r="U116" i="7"/>
  <c r="V116" i="7" s="1"/>
  <c r="U115" i="7"/>
  <c r="V115" i="7" s="1"/>
  <c r="U114" i="7"/>
  <c r="V114" i="7" s="1"/>
  <c r="U113" i="7"/>
  <c r="V113" i="7" s="1"/>
  <c r="U112" i="7"/>
  <c r="V112" i="7" s="1"/>
  <c r="U111" i="7"/>
  <c r="V111" i="7" s="1"/>
  <c r="U110" i="7"/>
  <c r="V110" i="7" s="1"/>
  <c r="U109" i="7"/>
  <c r="V109" i="7" s="1"/>
  <c r="U108" i="7"/>
  <c r="V108" i="7" s="1"/>
  <c r="U107" i="7"/>
  <c r="V107" i="7" s="1"/>
  <c r="U106" i="7"/>
  <c r="V106" i="7" s="1"/>
  <c r="U105" i="7"/>
  <c r="V105" i="7" s="1"/>
  <c r="U104" i="7"/>
  <c r="V104" i="7" s="1"/>
  <c r="U103" i="7"/>
  <c r="V103" i="7" s="1"/>
  <c r="U102" i="7"/>
  <c r="V102" i="7" s="1"/>
  <c r="U101" i="7"/>
  <c r="V101" i="7" s="1"/>
  <c r="U100" i="7"/>
  <c r="V100" i="7" s="1"/>
  <c r="U99" i="7"/>
  <c r="V99" i="7" s="1"/>
  <c r="U98" i="7"/>
  <c r="V98" i="7" s="1"/>
  <c r="U97" i="7"/>
  <c r="V97" i="7" s="1"/>
  <c r="U96" i="7"/>
  <c r="V96" i="7" s="1"/>
  <c r="U95" i="7"/>
  <c r="V95" i="7" s="1"/>
  <c r="U94" i="7"/>
  <c r="V94" i="7" s="1"/>
  <c r="U92" i="7"/>
  <c r="V92" i="7" s="1"/>
  <c r="U88" i="7"/>
  <c r="V88" i="7" s="1"/>
  <c r="U86" i="7"/>
  <c r="V86" i="7" s="1"/>
  <c r="U84" i="7"/>
  <c r="V84" i="7" s="1"/>
  <c r="U73" i="7"/>
  <c r="V73" i="7" s="1"/>
  <c r="U72" i="7"/>
  <c r="V72" i="7" s="1"/>
  <c r="U71" i="7"/>
  <c r="V71" i="7" s="1"/>
  <c r="U70" i="7"/>
  <c r="V70" i="7" s="1"/>
  <c r="U69" i="7"/>
  <c r="V69" i="7" s="1"/>
  <c r="U67" i="7"/>
  <c r="V67" i="7" s="1"/>
  <c r="U66" i="7"/>
  <c r="V66" i="7" s="1"/>
  <c r="U65" i="7"/>
  <c r="V65" i="7" s="1"/>
  <c r="U64" i="7"/>
  <c r="V64" i="7" s="1"/>
  <c r="U63" i="7"/>
  <c r="V63" i="7" s="1"/>
  <c r="U61" i="7"/>
  <c r="V61" i="7" s="1"/>
  <c r="U60" i="7"/>
  <c r="V60" i="7" s="1"/>
  <c r="U59" i="7"/>
  <c r="V59" i="7" s="1"/>
  <c r="U58" i="7"/>
  <c r="V58" i="7" s="1"/>
  <c r="U56" i="7"/>
  <c r="V56" i="7" s="1"/>
  <c r="U55" i="7"/>
  <c r="V55" i="7" s="1"/>
  <c r="U54" i="7"/>
  <c r="V54" i="7" s="1"/>
  <c r="U53" i="7"/>
  <c r="V53" i="7" s="1"/>
  <c r="U52" i="7"/>
  <c r="V52" i="7" s="1"/>
  <c r="U50" i="7"/>
  <c r="V50" i="7" s="1"/>
  <c r="U42" i="7"/>
  <c r="V42" i="7" s="1"/>
  <c r="U39" i="7"/>
  <c r="V39" i="7" s="1"/>
  <c r="U33" i="7"/>
  <c r="V33" i="7" s="1"/>
  <c r="U31" i="7"/>
  <c r="V31" i="7" s="1"/>
  <c r="U12" i="7"/>
  <c r="V12" i="7" s="1"/>
  <c r="U11" i="7"/>
  <c r="V11" i="7" s="1"/>
  <c r="U75" i="8" l="1"/>
  <c r="V75" i="8" s="1"/>
  <c r="T76" i="7" l="1"/>
  <c r="S76" i="7"/>
  <c r="T87" i="7"/>
  <c r="T85" i="7"/>
  <c r="T83" i="7"/>
  <c r="T82" i="7"/>
  <c r="T81" i="7"/>
  <c r="T80" i="7"/>
  <c r="T79" i="7"/>
  <c r="T78" i="7"/>
  <c r="T77" i="7"/>
  <c r="T75" i="7"/>
  <c r="T68" i="7"/>
  <c r="T62" i="7"/>
  <c r="T57" i="7"/>
  <c r="T51" i="7"/>
  <c r="T49" i="7"/>
  <c r="T47" i="7"/>
  <c r="T45" i="7"/>
  <c r="T44" i="7"/>
  <c r="T40" i="7"/>
  <c r="T38" i="7"/>
  <c r="T35" i="7"/>
  <c r="T34" i="7"/>
  <c r="T30" i="7"/>
  <c r="T27" i="7"/>
  <c r="T18" i="7"/>
  <c r="T43" i="7"/>
  <c r="U43" i="7" s="1"/>
  <c r="V43" i="7" s="1"/>
  <c r="T37" i="7"/>
  <c r="U37" i="7" s="1"/>
  <c r="V37" i="7" s="1"/>
  <c r="T36" i="7"/>
  <c r="U36" i="7" s="1"/>
  <c r="V36" i="7" s="1"/>
  <c r="T32" i="7"/>
  <c r="U32" i="7" s="1"/>
  <c r="V32" i="7" s="1"/>
  <c r="T29" i="7"/>
  <c r="T28" i="7"/>
  <c r="U28" i="7" s="1"/>
  <c r="V28" i="7" s="1"/>
  <c r="U235" i="4"/>
  <c r="V235" i="4" s="1"/>
  <c r="U234" i="4"/>
  <c r="V234" i="4" s="1"/>
  <c r="U233" i="4"/>
  <c r="V233" i="4" s="1"/>
  <c r="U232" i="4"/>
  <c r="V232" i="4" s="1"/>
  <c r="U231" i="4"/>
  <c r="V231" i="4" s="1"/>
  <c r="U230" i="4"/>
  <c r="V230" i="4" s="1"/>
  <c r="U229" i="4"/>
  <c r="V229" i="4" s="1"/>
  <c r="U228" i="4"/>
  <c r="V228" i="4" s="1"/>
  <c r="U227" i="4"/>
  <c r="V227" i="4" s="1"/>
  <c r="U226" i="4"/>
  <c r="V226" i="4" s="1"/>
  <c r="U225" i="4"/>
  <c r="V225" i="4" s="1"/>
  <c r="U224" i="4"/>
  <c r="V224" i="4" s="1"/>
  <c r="U223" i="4"/>
  <c r="V223" i="4" s="1"/>
  <c r="U222" i="4"/>
  <c r="V222" i="4" s="1"/>
  <c r="U221" i="4"/>
  <c r="V221" i="4" s="1"/>
  <c r="U220" i="4"/>
  <c r="V220" i="4" s="1"/>
  <c r="U219" i="4"/>
  <c r="V219" i="4" s="1"/>
  <c r="U218" i="4"/>
  <c r="V218" i="4" s="1"/>
  <c r="U217" i="4"/>
  <c r="V217" i="4" s="1"/>
  <c r="U216" i="4"/>
  <c r="V216" i="4" s="1"/>
  <c r="U215" i="4"/>
  <c r="V215" i="4" s="1"/>
  <c r="U214" i="4"/>
  <c r="V214" i="4" s="1"/>
  <c r="U213" i="4"/>
  <c r="V213" i="4" s="1"/>
  <c r="U212" i="4"/>
  <c r="V212" i="4" s="1"/>
  <c r="U211" i="4"/>
  <c r="V211" i="4" s="1"/>
  <c r="U210" i="4"/>
  <c r="V210" i="4" s="1"/>
  <c r="U209" i="4"/>
  <c r="V209" i="4" s="1"/>
  <c r="U208" i="4"/>
  <c r="V208" i="4" s="1"/>
  <c r="U207" i="4"/>
  <c r="V207" i="4" s="1"/>
  <c r="U206" i="4"/>
  <c r="V206" i="4" s="1"/>
  <c r="U205" i="4"/>
  <c r="V205" i="4" s="1"/>
  <c r="U204" i="4"/>
  <c r="V204" i="4" s="1"/>
  <c r="U203" i="4"/>
  <c r="V203" i="4" s="1"/>
  <c r="U202" i="4"/>
  <c r="V202" i="4" s="1"/>
  <c r="U201" i="4"/>
  <c r="V201" i="4" s="1"/>
  <c r="U200" i="4"/>
  <c r="V200" i="4" s="1"/>
  <c r="U199" i="4"/>
  <c r="V199" i="4" s="1"/>
  <c r="U198" i="4"/>
  <c r="V198" i="4" s="1"/>
  <c r="U197" i="4"/>
  <c r="V197" i="4" s="1"/>
  <c r="U196" i="4"/>
  <c r="V196" i="4" s="1"/>
  <c r="U195" i="4"/>
  <c r="V195" i="4" s="1"/>
  <c r="U194" i="4"/>
  <c r="V194" i="4" s="1"/>
  <c r="U193" i="4"/>
  <c r="V193" i="4" s="1"/>
  <c r="U192" i="4"/>
  <c r="V192" i="4" s="1"/>
  <c r="U191" i="4"/>
  <c r="V191" i="4" s="1"/>
  <c r="U190" i="4"/>
  <c r="V190" i="4" s="1"/>
  <c r="U189" i="4"/>
  <c r="V189" i="4" s="1"/>
  <c r="U188" i="4"/>
  <c r="V188" i="4" s="1"/>
  <c r="U187" i="4"/>
  <c r="V187" i="4" s="1"/>
  <c r="U186" i="4"/>
  <c r="V186" i="4" s="1"/>
  <c r="U185" i="4"/>
  <c r="V185" i="4" s="1"/>
  <c r="U184" i="4"/>
  <c r="V184" i="4" s="1"/>
  <c r="U183" i="4"/>
  <c r="V183" i="4" s="1"/>
  <c r="U182" i="4"/>
  <c r="V182" i="4" s="1"/>
  <c r="U181" i="4"/>
  <c r="V181" i="4" s="1"/>
  <c r="U180" i="4"/>
  <c r="V180" i="4" s="1"/>
  <c r="U179" i="4"/>
  <c r="V179" i="4" s="1"/>
  <c r="U178" i="4"/>
  <c r="V178" i="4" s="1"/>
  <c r="U177" i="4"/>
  <c r="V177" i="4" s="1"/>
  <c r="U176" i="4"/>
  <c r="V176" i="4" s="1"/>
  <c r="U175" i="4"/>
  <c r="V175" i="4" s="1"/>
  <c r="U174" i="4"/>
  <c r="V174" i="4" s="1"/>
  <c r="U173" i="4"/>
  <c r="V173" i="4" s="1"/>
  <c r="U172" i="4"/>
  <c r="V172" i="4" s="1"/>
  <c r="U171" i="4"/>
  <c r="V171" i="4" s="1"/>
  <c r="U170" i="4"/>
  <c r="V170" i="4" s="1"/>
  <c r="U169" i="4"/>
  <c r="V169" i="4" s="1"/>
  <c r="U168" i="4"/>
  <c r="V168" i="4" s="1"/>
  <c r="U167" i="4"/>
  <c r="V167" i="4" s="1"/>
  <c r="U166" i="4"/>
  <c r="V166" i="4" s="1"/>
  <c r="U165" i="4"/>
  <c r="V165" i="4" s="1"/>
  <c r="U164" i="4"/>
  <c r="V164" i="4" s="1"/>
  <c r="U163" i="4"/>
  <c r="V163" i="4" s="1"/>
  <c r="U162" i="4"/>
  <c r="V162" i="4" s="1"/>
  <c r="U161" i="4"/>
  <c r="V161" i="4" s="1"/>
  <c r="U160" i="4"/>
  <c r="V160" i="4" s="1"/>
  <c r="U159" i="4"/>
  <c r="V159" i="4" s="1"/>
  <c r="U158" i="4"/>
  <c r="V158" i="4" s="1"/>
  <c r="U157" i="4"/>
  <c r="V157" i="4" s="1"/>
  <c r="U156" i="4"/>
  <c r="V156" i="4" s="1"/>
  <c r="U155" i="4"/>
  <c r="V155" i="4" s="1"/>
  <c r="U154" i="4"/>
  <c r="V154" i="4" s="1"/>
  <c r="U153" i="4"/>
  <c r="V153" i="4" s="1"/>
  <c r="U152" i="4"/>
  <c r="V152" i="4" s="1"/>
  <c r="U151" i="4"/>
  <c r="V151" i="4" s="1"/>
  <c r="U150" i="4"/>
  <c r="V150" i="4" s="1"/>
  <c r="U149" i="4"/>
  <c r="V149" i="4" s="1"/>
  <c r="U148" i="4"/>
  <c r="V148" i="4" s="1"/>
  <c r="U147" i="4"/>
  <c r="V147" i="4" s="1"/>
  <c r="U146" i="4"/>
  <c r="V146" i="4" s="1"/>
  <c r="U145" i="4"/>
  <c r="V145" i="4" s="1"/>
  <c r="U144" i="4"/>
  <c r="V144" i="4" s="1"/>
  <c r="U143" i="4"/>
  <c r="V143" i="4" s="1"/>
  <c r="U142" i="4"/>
  <c r="V142" i="4" s="1"/>
  <c r="U141" i="4"/>
  <c r="V141" i="4" s="1"/>
  <c r="U140" i="4"/>
  <c r="V140" i="4" s="1"/>
  <c r="U139" i="4"/>
  <c r="V139" i="4" s="1"/>
  <c r="U138" i="4"/>
  <c r="V138" i="4" s="1"/>
  <c r="U137" i="4"/>
  <c r="V137" i="4" s="1"/>
  <c r="U136" i="4"/>
  <c r="V136" i="4" s="1"/>
  <c r="U135" i="4"/>
  <c r="V135" i="4" s="1"/>
  <c r="U134" i="4"/>
  <c r="V134" i="4" s="1"/>
  <c r="U133" i="4"/>
  <c r="V133" i="4" s="1"/>
  <c r="U132" i="4"/>
  <c r="V132" i="4" s="1"/>
  <c r="U131" i="4"/>
  <c r="V131" i="4" s="1"/>
  <c r="U130" i="4"/>
  <c r="V130" i="4" s="1"/>
  <c r="U129" i="4"/>
  <c r="V129" i="4" s="1"/>
  <c r="U128" i="4"/>
  <c r="V128" i="4" s="1"/>
  <c r="U127" i="4"/>
  <c r="V127" i="4" s="1"/>
  <c r="U126" i="4"/>
  <c r="V126" i="4" s="1"/>
  <c r="U125" i="4"/>
  <c r="V125" i="4" s="1"/>
  <c r="U124" i="4"/>
  <c r="V124" i="4" s="1"/>
  <c r="U123" i="4"/>
  <c r="V123" i="4" s="1"/>
  <c r="U122" i="4"/>
  <c r="V122" i="4" s="1"/>
  <c r="U121" i="4"/>
  <c r="V121" i="4" s="1"/>
  <c r="U120" i="4"/>
  <c r="V120" i="4" s="1"/>
  <c r="U119" i="4"/>
  <c r="V119" i="4" s="1"/>
  <c r="U118" i="4"/>
  <c r="V118" i="4" s="1"/>
  <c r="U117" i="4"/>
  <c r="V117" i="4" s="1"/>
  <c r="U116" i="4"/>
  <c r="V116" i="4" s="1"/>
  <c r="U115" i="4"/>
  <c r="V115" i="4" s="1"/>
  <c r="U114" i="4"/>
  <c r="V114" i="4" s="1"/>
  <c r="U113" i="4"/>
  <c r="V113" i="4" s="1"/>
  <c r="U112" i="4"/>
  <c r="V112" i="4" s="1"/>
  <c r="U111" i="4"/>
  <c r="V111" i="4" s="1"/>
  <c r="U110" i="4"/>
  <c r="V110" i="4" s="1"/>
  <c r="U109" i="4"/>
  <c r="V109" i="4" s="1"/>
  <c r="U108" i="4"/>
  <c r="V108" i="4" s="1"/>
  <c r="U107" i="4"/>
  <c r="V107" i="4" s="1"/>
  <c r="U106" i="4"/>
  <c r="V106" i="4" s="1"/>
  <c r="U105" i="4"/>
  <c r="V105" i="4" s="1"/>
  <c r="U104" i="4"/>
  <c r="V104" i="4" s="1"/>
  <c r="U103" i="4"/>
  <c r="V103" i="4" s="1"/>
  <c r="U102" i="4"/>
  <c r="V102" i="4" s="1"/>
  <c r="U101" i="4"/>
  <c r="V101" i="4" s="1"/>
  <c r="U100" i="4"/>
  <c r="V100" i="4" s="1"/>
  <c r="U99" i="4"/>
  <c r="V99" i="4" s="1"/>
  <c r="U98" i="4"/>
  <c r="V98" i="4" s="1"/>
  <c r="U97" i="4"/>
  <c r="V97" i="4" s="1"/>
  <c r="U96" i="4"/>
  <c r="V96" i="4" s="1"/>
  <c r="U95" i="4"/>
  <c r="V95" i="4" s="1"/>
  <c r="U94" i="4"/>
  <c r="V94" i="4" s="1"/>
  <c r="U93" i="4"/>
  <c r="V93" i="4" s="1"/>
  <c r="U92" i="4"/>
  <c r="V92" i="4" s="1"/>
  <c r="U91" i="4"/>
  <c r="V91" i="4" s="1"/>
  <c r="U90" i="4"/>
  <c r="V90" i="4" s="1"/>
  <c r="U86" i="4"/>
  <c r="V86" i="4" s="1"/>
  <c r="U84" i="4"/>
  <c r="V84" i="4" s="1"/>
  <c r="U82" i="4"/>
  <c r="V82" i="4" s="1"/>
  <c r="U71" i="4"/>
  <c r="V71" i="4" s="1"/>
  <c r="U70" i="4"/>
  <c r="V70" i="4" s="1"/>
  <c r="U69" i="4"/>
  <c r="V69" i="4" s="1"/>
  <c r="U68" i="4"/>
  <c r="V68" i="4" s="1"/>
  <c r="U66" i="4"/>
  <c r="V66" i="4" s="1"/>
  <c r="U64" i="4"/>
  <c r="V64" i="4" s="1"/>
  <c r="U63" i="4"/>
  <c r="V63" i="4" s="1"/>
  <c r="U62" i="4"/>
  <c r="V62" i="4" s="1"/>
  <c r="U61" i="4"/>
  <c r="V61" i="4" s="1"/>
  <c r="U59" i="4"/>
  <c r="V59" i="4" s="1"/>
  <c r="U58" i="4"/>
  <c r="V58" i="4" s="1"/>
  <c r="U57" i="4"/>
  <c r="V57" i="4" s="1"/>
  <c r="U56" i="4"/>
  <c r="V56" i="4" s="1"/>
  <c r="U55" i="4"/>
  <c r="V55" i="4" s="1"/>
  <c r="U54" i="4"/>
  <c r="V54" i="4" s="1"/>
  <c r="U53" i="4"/>
  <c r="V53" i="4" s="1"/>
  <c r="U52" i="4"/>
  <c r="V52" i="4" s="1"/>
  <c r="U50" i="4"/>
  <c r="V50" i="4" s="1"/>
  <c r="U43" i="4"/>
  <c r="V43" i="4" s="1"/>
  <c r="U42" i="4"/>
  <c r="V42" i="4" s="1"/>
  <c r="U38" i="4"/>
  <c r="V38" i="4" s="1"/>
  <c r="U34" i="4"/>
  <c r="V34" i="4" s="1"/>
  <c r="U30" i="4"/>
  <c r="V30" i="4" s="1"/>
  <c r="U29" i="4"/>
  <c r="V29" i="4" s="1"/>
  <c r="U12" i="4"/>
  <c r="V12" i="4" s="1"/>
  <c r="U11" i="4"/>
  <c r="V11" i="4" s="1"/>
  <c r="U229" i="6"/>
  <c r="V229" i="6" s="1"/>
  <c r="U228" i="6"/>
  <c r="V228" i="6" s="1"/>
  <c r="U227" i="6"/>
  <c r="V227" i="6" s="1"/>
  <c r="U226" i="6"/>
  <c r="V226" i="6" s="1"/>
  <c r="U225" i="6"/>
  <c r="V225" i="6" s="1"/>
  <c r="U224" i="6"/>
  <c r="V224" i="6" s="1"/>
  <c r="U223" i="6"/>
  <c r="V223" i="6" s="1"/>
  <c r="U222" i="6"/>
  <c r="V222" i="6" s="1"/>
  <c r="U221" i="6"/>
  <c r="V221" i="6" s="1"/>
  <c r="U220" i="6"/>
  <c r="V220" i="6" s="1"/>
  <c r="U219" i="6"/>
  <c r="V219" i="6" s="1"/>
  <c r="U218" i="6"/>
  <c r="V218" i="6" s="1"/>
  <c r="U217" i="6"/>
  <c r="V217" i="6" s="1"/>
  <c r="U216" i="6"/>
  <c r="V216" i="6" s="1"/>
  <c r="U215" i="6"/>
  <c r="V215" i="6" s="1"/>
  <c r="U214" i="6"/>
  <c r="V214" i="6" s="1"/>
  <c r="U213" i="6"/>
  <c r="V213" i="6" s="1"/>
  <c r="U212" i="6"/>
  <c r="V212" i="6" s="1"/>
  <c r="U211" i="6"/>
  <c r="V211" i="6" s="1"/>
  <c r="U210" i="6"/>
  <c r="V210" i="6" s="1"/>
  <c r="U209" i="6"/>
  <c r="V209" i="6" s="1"/>
  <c r="U208" i="6"/>
  <c r="V208" i="6" s="1"/>
  <c r="U207" i="6"/>
  <c r="V207" i="6" s="1"/>
  <c r="U206" i="6"/>
  <c r="V206" i="6" s="1"/>
  <c r="U205" i="6"/>
  <c r="V205" i="6" s="1"/>
  <c r="U204" i="6"/>
  <c r="V204" i="6" s="1"/>
  <c r="U203" i="6"/>
  <c r="V203" i="6" s="1"/>
  <c r="U202" i="6"/>
  <c r="V202" i="6" s="1"/>
  <c r="U201" i="6"/>
  <c r="V201" i="6" s="1"/>
  <c r="U200" i="6"/>
  <c r="V200" i="6" s="1"/>
  <c r="U199" i="6"/>
  <c r="V199" i="6" s="1"/>
  <c r="U198" i="6"/>
  <c r="V198" i="6" s="1"/>
  <c r="U197" i="6"/>
  <c r="V197" i="6" s="1"/>
  <c r="U196" i="6"/>
  <c r="V196" i="6" s="1"/>
  <c r="U195" i="6"/>
  <c r="V195" i="6" s="1"/>
  <c r="U194" i="6"/>
  <c r="V194" i="6" s="1"/>
  <c r="U193" i="6"/>
  <c r="V193" i="6" s="1"/>
  <c r="U192" i="6"/>
  <c r="V192" i="6" s="1"/>
  <c r="U191" i="6"/>
  <c r="V191" i="6" s="1"/>
  <c r="U190" i="6"/>
  <c r="V190" i="6" s="1"/>
  <c r="U189" i="6"/>
  <c r="V189" i="6" s="1"/>
  <c r="U188" i="6"/>
  <c r="V188" i="6" s="1"/>
  <c r="U187" i="6"/>
  <c r="V187" i="6" s="1"/>
  <c r="U186" i="6"/>
  <c r="V186" i="6" s="1"/>
  <c r="U185" i="6"/>
  <c r="V185" i="6" s="1"/>
  <c r="U184" i="6"/>
  <c r="V184" i="6" s="1"/>
  <c r="U183" i="6"/>
  <c r="V183" i="6" s="1"/>
  <c r="U182" i="6"/>
  <c r="V182" i="6" s="1"/>
  <c r="U181" i="6"/>
  <c r="V181" i="6" s="1"/>
  <c r="U180" i="6"/>
  <c r="V180" i="6" s="1"/>
  <c r="U179" i="6"/>
  <c r="V179" i="6" s="1"/>
  <c r="U178" i="6"/>
  <c r="V178" i="6" s="1"/>
  <c r="U177" i="6"/>
  <c r="V177" i="6" s="1"/>
  <c r="U176" i="6"/>
  <c r="V176" i="6" s="1"/>
  <c r="U175" i="6"/>
  <c r="V175" i="6" s="1"/>
  <c r="U174" i="6"/>
  <c r="V174" i="6" s="1"/>
  <c r="U173" i="6"/>
  <c r="V173" i="6" s="1"/>
  <c r="U172" i="6"/>
  <c r="V172" i="6" s="1"/>
  <c r="U171" i="6"/>
  <c r="V171" i="6" s="1"/>
  <c r="U170" i="6"/>
  <c r="V170" i="6" s="1"/>
  <c r="U169" i="6"/>
  <c r="V169" i="6" s="1"/>
  <c r="U168" i="6"/>
  <c r="V168" i="6" s="1"/>
  <c r="U167" i="6"/>
  <c r="V167" i="6" s="1"/>
  <c r="U166" i="6"/>
  <c r="V166" i="6" s="1"/>
  <c r="U165" i="6"/>
  <c r="V165" i="6" s="1"/>
  <c r="U164" i="6"/>
  <c r="V164" i="6" s="1"/>
  <c r="U163" i="6"/>
  <c r="V163" i="6" s="1"/>
  <c r="U162" i="6"/>
  <c r="V162" i="6" s="1"/>
  <c r="U161" i="6"/>
  <c r="V161" i="6" s="1"/>
  <c r="U160" i="6"/>
  <c r="V160" i="6" s="1"/>
  <c r="U159" i="6"/>
  <c r="V159" i="6" s="1"/>
  <c r="U158" i="6"/>
  <c r="V158" i="6" s="1"/>
  <c r="U157" i="6"/>
  <c r="V157" i="6" s="1"/>
  <c r="U156" i="6"/>
  <c r="V156" i="6" s="1"/>
  <c r="U155" i="6"/>
  <c r="V155" i="6" s="1"/>
  <c r="U154" i="6"/>
  <c r="V154" i="6" s="1"/>
  <c r="U153" i="6"/>
  <c r="V153" i="6" s="1"/>
  <c r="U152" i="6"/>
  <c r="V152" i="6" s="1"/>
  <c r="U151" i="6"/>
  <c r="V151" i="6" s="1"/>
  <c r="U150" i="6"/>
  <c r="V150" i="6" s="1"/>
  <c r="U149" i="6"/>
  <c r="V149" i="6" s="1"/>
  <c r="U148" i="6"/>
  <c r="V148" i="6" s="1"/>
  <c r="U147" i="6"/>
  <c r="V147" i="6" s="1"/>
  <c r="U146" i="6"/>
  <c r="V146" i="6" s="1"/>
  <c r="U145" i="6"/>
  <c r="V145" i="6" s="1"/>
  <c r="U144" i="6"/>
  <c r="V144" i="6" s="1"/>
  <c r="U143" i="6"/>
  <c r="V143" i="6" s="1"/>
  <c r="U142" i="6"/>
  <c r="V142" i="6" s="1"/>
  <c r="U141" i="6"/>
  <c r="V141" i="6" s="1"/>
  <c r="U140" i="6"/>
  <c r="V140" i="6" s="1"/>
  <c r="U139" i="6"/>
  <c r="V139" i="6" s="1"/>
  <c r="U138" i="6"/>
  <c r="V138" i="6" s="1"/>
  <c r="U137" i="6"/>
  <c r="V137" i="6" s="1"/>
  <c r="U136" i="6"/>
  <c r="V136" i="6" s="1"/>
  <c r="U135" i="6"/>
  <c r="V135" i="6" s="1"/>
  <c r="U134" i="6"/>
  <c r="V134" i="6" s="1"/>
  <c r="U133" i="6"/>
  <c r="V133" i="6" s="1"/>
  <c r="U132" i="6"/>
  <c r="V132" i="6" s="1"/>
  <c r="U131" i="6"/>
  <c r="V131" i="6" s="1"/>
  <c r="U130" i="6"/>
  <c r="V130" i="6" s="1"/>
  <c r="U129" i="6"/>
  <c r="V129" i="6" s="1"/>
  <c r="U128" i="6"/>
  <c r="V128" i="6" s="1"/>
  <c r="U127" i="6"/>
  <c r="V127" i="6" s="1"/>
  <c r="U126" i="6"/>
  <c r="V126" i="6" s="1"/>
  <c r="U125" i="6"/>
  <c r="V125" i="6" s="1"/>
  <c r="U124" i="6"/>
  <c r="V124" i="6" s="1"/>
  <c r="U123" i="6"/>
  <c r="V123" i="6" s="1"/>
  <c r="U122" i="6"/>
  <c r="V122" i="6" s="1"/>
  <c r="U121" i="6"/>
  <c r="V121" i="6" s="1"/>
  <c r="U120" i="6"/>
  <c r="V120" i="6" s="1"/>
  <c r="U119" i="6"/>
  <c r="V119" i="6" s="1"/>
  <c r="U118" i="6"/>
  <c r="V118" i="6" s="1"/>
  <c r="U117" i="6"/>
  <c r="V117" i="6" s="1"/>
  <c r="U116" i="6"/>
  <c r="V116" i="6" s="1"/>
  <c r="U115" i="6"/>
  <c r="V115" i="6" s="1"/>
  <c r="U114" i="6"/>
  <c r="V114" i="6" s="1"/>
  <c r="U113" i="6"/>
  <c r="V113" i="6" s="1"/>
  <c r="U112" i="6"/>
  <c r="V112" i="6" s="1"/>
  <c r="U111" i="6"/>
  <c r="V111" i="6" s="1"/>
  <c r="U110" i="6"/>
  <c r="V110" i="6" s="1"/>
  <c r="U109" i="6"/>
  <c r="V109" i="6" s="1"/>
  <c r="U108" i="6"/>
  <c r="V108" i="6" s="1"/>
  <c r="U107" i="6"/>
  <c r="V107" i="6" s="1"/>
  <c r="U106" i="6"/>
  <c r="V106" i="6" s="1"/>
  <c r="U105" i="6"/>
  <c r="V105" i="6" s="1"/>
  <c r="U104" i="6"/>
  <c r="V104" i="6" s="1"/>
  <c r="U103" i="6"/>
  <c r="V103" i="6" s="1"/>
  <c r="U102" i="6"/>
  <c r="V102" i="6" s="1"/>
  <c r="U101" i="6"/>
  <c r="V101" i="6" s="1"/>
  <c r="U100" i="6"/>
  <c r="V100" i="6" s="1"/>
  <c r="U99" i="6"/>
  <c r="V99" i="6" s="1"/>
  <c r="U98" i="6"/>
  <c r="V98" i="6" s="1"/>
  <c r="U97" i="6"/>
  <c r="V97" i="6" s="1"/>
  <c r="U96" i="6"/>
  <c r="V96" i="6" s="1"/>
  <c r="U95" i="6"/>
  <c r="V95" i="6" s="1"/>
  <c r="U94" i="6"/>
  <c r="V94" i="6" s="1"/>
  <c r="U93" i="6"/>
  <c r="V93" i="6" s="1"/>
  <c r="U92" i="6"/>
  <c r="V92" i="6" s="1"/>
  <c r="U91" i="6"/>
  <c r="V91" i="6" s="1"/>
  <c r="U89" i="6"/>
  <c r="V89" i="6" s="1"/>
  <c r="U88" i="6"/>
  <c r="V88" i="6" s="1"/>
  <c r="U84" i="6"/>
  <c r="V84" i="6" s="1"/>
  <c r="U82" i="6"/>
  <c r="V82" i="6" s="1"/>
  <c r="U69" i="6"/>
  <c r="V69" i="6" s="1"/>
  <c r="U68" i="6"/>
  <c r="V68" i="6" s="1"/>
  <c r="U67" i="6"/>
  <c r="V67" i="6" s="1"/>
  <c r="U65" i="6"/>
  <c r="V65" i="6" s="1"/>
  <c r="U64" i="6"/>
  <c r="V64" i="6" s="1"/>
  <c r="U63" i="6"/>
  <c r="V63" i="6" s="1"/>
  <c r="U62" i="6"/>
  <c r="V62" i="6" s="1"/>
  <c r="U61" i="6"/>
  <c r="V61" i="6" s="1"/>
  <c r="U59" i="6"/>
  <c r="V59" i="6" s="1"/>
  <c r="U57" i="6"/>
  <c r="V57" i="6" s="1"/>
  <c r="U56" i="6"/>
  <c r="V56" i="6" s="1"/>
  <c r="U55" i="6"/>
  <c r="V55" i="6" s="1"/>
  <c r="U54" i="6"/>
  <c r="V54" i="6" s="1"/>
  <c r="U53" i="6"/>
  <c r="V53" i="6" s="1"/>
  <c r="U51" i="6"/>
  <c r="V51" i="6" s="1"/>
  <c r="U44" i="6"/>
  <c r="V44" i="6" s="1"/>
  <c r="U43" i="6"/>
  <c r="V43" i="6" s="1"/>
  <c r="U40" i="6"/>
  <c r="V40" i="6" s="1"/>
  <c r="U37" i="6"/>
  <c r="V37" i="6" s="1"/>
  <c r="U34" i="6"/>
  <c r="V34" i="6" s="1"/>
  <c r="U33" i="6"/>
  <c r="V33" i="6" s="1"/>
  <c r="U32" i="6"/>
  <c r="V32" i="6" s="1"/>
  <c r="U31" i="6"/>
  <c r="V31" i="6" s="1"/>
  <c r="U216" i="5"/>
  <c r="V216" i="5" s="1"/>
  <c r="U215" i="5"/>
  <c r="V215" i="5" s="1"/>
  <c r="U214" i="5"/>
  <c r="V214" i="5" s="1"/>
  <c r="U213" i="5"/>
  <c r="V213" i="5" s="1"/>
  <c r="U212" i="5"/>
  <c r="V212" i="5" s="1"/>
  <c r="U211" i="5"/>
  <c r="V211" i="5" s="1"/>
  <c r="U210" i="5"/>
  <c r="V210" i="5" s="1"/>
  <c r="U209" i="5"/>
  <c r="V209" i="5" s="1"/>
  <c r="U208" i="5"/>
  <c r="V208" i="5" s="1"/>
  <c r="U207" i="5"/>
  <c r="V207" i="5" s="1"/>
  <c r="U206" i="5"/>
  <c r="V206" i="5" s="1"/>
  <c r="U205" i="5"/>
  <c r="V205" i="5" s="1"/>
  <c r="U204" i="5"/>
  <c r="V204" i="5" s="1"/>
  <c r="U203" i="5"/>
  <c r="V203" i="5" s="1"/>
  <c r="U202" i="5"/>
  <c r="V202" i="5" s="1"/>
  <c r="U201" i="5"/>
  <c r="V201" i="5" s="1"/>
  <c r="U200" i="5"/>
  <c r="V200" i="5" s="1"/>
  <c r="U199" i="5"/>
  <c r="V199" i="5" s="1"/>
  <c r="U198" i="5"/>
  <c r="V198" i="5" s="1"/>
  <c r="U197" i="5"/>
  <c r="V197" i="5" s="1"/>
  <c r="U196" i="5"/>
  <c r="V196" i="5" s="1"/>
  <c r="U195" i="5"/>
  <c r="V195" i="5" s="1"/>
  <c r="U194" i="5"/>
  <c r="V194" i="5" s="1"/>
  <c r="U193" i="5"/>
  <c r="V193" i="5" s="1"/>
  <c r="U192" i="5"/>
  <c r="V192" i="5" s="1"/>
  <c r="U191" i="5"/>
  <c r="V191" i="5" s="1"/>
  <c r="U190" i="5"/>
  <c r="V190" i="5" s="1"/>
  <c r="U189" i="5"/>
  <c r="V189" i="5" s="1"/>
  <c r="U188" i="5"/>
  <c r="V188" i="5" s="1"/>
  <c r="U187" i="5"/>
  <c r="V187" i="5" s="1"/>
  <c r="U186" i="5"/>
  <c r="V186" i="5" s="1"/>
  <c r="U185" i="5"/>
  <c r="V185" i="5" s="1"/>
  <c r="U184" i="5"/>
  <c r="V184" i="5" s="1"/>
  <c r="U183" i="5"/>
  <c r="V183" i="5" s="1"/>
  <c r="U182" i="5"/>
  <c r="V182" i="5" s="1"/>
  <c r="U181" i="5"/>
  <c r="V181" i="5" s="1"/>
  <c r="U180" i="5"/>
  <c r="V180" i="5" s="1"/>
  <c r="U179" i="5"/>
  <c r="V179" i="5" s="1"/>
  <c r="U178" i="5"/>
  <c r="V178" i="5" s="1"/>
  <c r="U177" i="5"/>
  <c r="V177" i="5" s="1"/>
  <c r="U176" i="5"/>
  <c r="V176" i="5" s="1"/>
  <c r="U175" i="5"/>
  <c r="V175" i="5" s="1"/>
  <c r="U174" i="5"/>
  <c r="V174" i="5" s="1"/>
  <c r="U173" i="5"/>
  <c r="V173" i="5" s="1"/>
  <c r="U172" i="5"/>
  <c r="V172" i="5" s="1"/>
  <c r="U171" i="5"/>
  <c r="V171" i="5" s="1"/>
  <c r="U170" i="5"/>
  <c r="V170" i="5" s="1"/>
  <c r="U169" i="5"/>
  <c r="V169" i="5" s="1"/>
  <c r="U168" i="5"/>
  <c r="V168" i="5" s="1"/>
  <c r="U167" i="5"/>
  <c r="V167" i="5" s="1"/>
  <c r="U166" i="5"/>
  <c r="V166" i="5" s="1"/>
  <c r="U165" i="5"/>
  <c r="V165" i="5" s="1"/>
  <c r="U164" i="5"/>
  <c r="V164" i="5" s="1"/>
  <c r="U163" i="5"/>
  <c r="V163" i="5" s="1"/>
  <c r="U162" i="5"/>
  <c r="V162" i="5" s="1"/>
  <c r="U161" i="5"/>
  <c r="V161" i="5" s="1"/>
  <c r="U160" i="5"/>
  <c r="V160" i="5" s="1"/>
  <c r="U159" i="5"/>
  <c r="V159" i="5" s="1"/>
  <c r="U158" i="5"/>
  <c r="V158" i="5" s="1"/>
  <c r="U157" i="5"/>
  <c r="V157" i="5" s="1"/>
  <c r="U156" i="5"/>
  <c r="V156" i="5" s="1"/>
  <c r="U155" i="5"/>
  <c r="V155" i="5" s="1"/>
  <c r="U154" i="5"/>
  <c r="V154" i="5" s="1"/>
  <c r="U153" i="5"/>
  <c r="V153" i="5" s="1"/>
  <c r="U152" i="5"/>
  <c r="V152" i="5" s="1"/>
  <c r="U151" i="5"/>
  <c r="V151" i="5" s="1"/>
  <c r="U150" i="5"/>
  <c r="V150" i="5" s="1"/>
  <c r="U149" i="5"/>
  <c r="V149" i="5" s="1"/>
  <c r="U148" i="5"/>
  <c r="V148" i="5" s="1"/>
  <c r="U147" i="5"/>
  <c r="V147" i="5" s="1"/>
  <c r="U146" i="5"/>
  <c r="V146" i="5" s="1"/>
  <c r="U145" i="5"/>
  <c r="V145" i="5" s="1"/>
  <c r="U144" i="5"/>
  <c r="V144" i="5" s="1"/>
  <c r="U143" i="5"/>
  <c r="V143" i="5" s="1"/>
  <c r="U142" i="5"/>
  <c r="V142" i="5" s="1"/>
  <c r="U141" i="5"/>
  <c r="V141" i="5" s="1"/>
  <c r="U140" i="5"/>
  <c r="V140" i="5" s="1"/>
  <c r="U139" i="5"/>
  <c r="V139" i="5" s="1"/>
  <c r="U138" i="5"/>
  <c r="V138" i="5" s="1"/>
  <c r="U137" i="5"/>
  <c r="V137" i="5" s="1"/>
  <c r="U136" i="5"/>
  <c r="V136" i="5" s="1"/>
  <c r="U135" i="5"/>
  <c r="V135" i="5" s="1"/>
  <c r="U134" i="5"/>
  <c r="V134" i="5" s="1"/>
  <c r="U133" i="5"/>
  <c r="V133" i="5" s="1"/>
  <c r="U132" i="5"/>
  <c r="V132" i="5" s="1"/>
  <c r="U131" i="5"/>
  <c r="V131" i="5" s="1"/>
  <c r="U130" i="5"/>
  <c r="V130" i="5" s="1"/>
  <c r="U129" i="5"/>
  <c r="V129" i="5" s="1"/>
  <c r="U128" i="5"/>
  <c r="V128" i="5" s="1"/>
  <c r="U127" i="5"/>
  <c r="V127" i="5" s="1"/>
  <c r="U126" i="5"/>
  <c r="V126" i="5" s="1"/>
  <c r="U125" i="5"/>
  <c r="V125" i="5" s="1"/>
  <c r="U124" i="5"/>
  <c r="V124" i="5" s="1"/>
  <c r="U123" i="5"/>
  <c r="V123" i="5" s="1"/>
  <c r="U122" i="5"/>
  <c r="V122" i="5" s="1"/>
  <c r="U121" i="5"/>
  <c r="V121" i="5" s="1"/>
  <c r="U120" i="5"/>
  <c r="V120" i="5" s="1"/>
  <c r="U119" i="5"/>
  <c r="V119" i="5" s="1"/>
  <c r="U118" i="5"/>
  <c r="V118" i="5" s="1"/>
  <c r="U117" i="5"/>
  <c r="V117" i="5" s="1"/>
  <c r="U116" i="5"/>
  <c r="V116" i="5" s="1"/>
  <c r="U115" i="5"/>
  <c r="V115" i="5" s="1"/>
  <c r="U114" i="5"/>
  <c r="V114" i="5" s="1"/>
  <c r="U113" i="5"/>
  <c r="V113" i="5" s="1"/>
  <c r="U112" i="5"/>
  <c r="V112" i="5" s="1"/>
  <c r="U111" i="5"/>
  <c r="V111" i="5" s="1"/>
  <c r="U110" i="5"/>
  <c r="V110" i="5" s="1"/>
  <c r="U109" i="5"/>
  <c r="V109" i="5" s="1"/>
  <c r="U108" i="5"/>
  <c r="V108" i="5" s="1"/>
  <c r="U107" i="5"/>
  <c r="V107" i="5" s="1"/>
  <c r="U106" i="5"/>
  <c r="V106" i="5" s="1"/>
  <c r="U105" i="5"/>
  <c r="V105" i="5" s="1"/>
  <c r="U104" i="5"/>
  <c r="V104" i="5" s="1"/>
  <c r="U103" i="5"/>
  <c r="V103" i="5" s="1"/>
  <c r="U102" i="5"/>
  <c r="V102" i="5" s="1"/>
  <c r="U101" i="5"/>
  <c r="V101" i="5" s="1"/>
  <c r="U100" i="5"/>
  <c r="V100" i="5" s="1"/>
  <c r="U99" i="5"/>
  <c r="V99" i="5" s="1"/>
  <c r="U98" i="5"/>
  <c r="V98" i="5" s="1"/>
  <c r="U97" i="5"/>
  <c r="V97" i="5" s="1"/>
  <c r="U96" i="5"/>
  <c r="V96" i="5" s="1"/>
  <c r="U95" i="5"/>
  <c r="V95" i="5" s="1"/>
  <c r="U94" i="5"/>
  <c r="V94" i="5" s="1"/>
  <c r="U93" i="5"/>
  <c r="V93" i="5" s="1"/>
  <c r="U92" i="5"/>
  <c r="V92" i="5" s="1"/>
  <c r="U91" i="5"/>
  <c r="V91" i="5" s="1"/>
  <c r="U89" i="5"/>
  <c r="V89" i="5" s="1"/>
  <c r="U88" i="5"/>
  <c r="V88" i="5" s="1"/>
  <c r="U84" i="5"/>
  <c r="V84" i="5" s="1"/>
  <c r="U82" i="5"/>
  <c r="V82" i="5" s="1"/>
  <c r="U80" i="5"/>
  <c r="V80" i="5" s="1"/>
  <c r="U69" i="5"/>
  <c r="V69" i="5" s="1"/>
  <c r="U68" i="5"/>
  <c r="V68" i="5" s="1"/>
  <c r="U67" i="5"/>
  <c r="V67" i="5" s="1"/>
  <c r="U66" i="5"/>
  <c r="V66" i="5" s="1"/>
  <c r="U65" i="5"/>
  <c r="V65" i="5" s="1"/>
  <c r="U64" i="5"/>
  <c r="V64" i="5" s="1"/>
  <c r="U63" i="5"/>
  <c r="V63" i="5" s="1"/>
  <c r="U61" i="5"/>
  <c r="V61" i="5" s="1"/>
  <c r="U60" i="5"/>
  <c r="V60" i="5" s="1"/>
  <c r="U59" i="5"/>
  <c r="V59" i="5" s="1"/>
  <c r="U58" i="5"/>
  <c r="V58" i="5" s="1"/>
  <c r="U57" i="5"/>
  <c r="V57" i="5" s="1"/>
  <c r="U55" i="5"/>
  <c r="V55" i="5" s="1"/>
  <c r="U53" i="5"/>
  <c r="V53" i="5" s="1"/>
  <c r="U52" i="5"/>
  <c r="V52" i="5" s="1"/>
  <c r="U51" i="5"/>
  <c r="V51" i="5" s="1"/>
  <c r="U50" i="5"/>
  <c r="V50" i="5" s="1"/>
  <c r="U49" i="5"/>
  <c r="V49" i="5" s="1"/>
  <c r="U47" i="5"/>
  <c r="V47" i="5" s="1"/>
  <c r="U40" i="5"/>
  <c r="V40" i="5" s="1"/>
  <c r="U37" i="5"/>
  <c r="V37" i="5" s="1"/>
  <c r="U35" i="5"/>
  <c r="V35" i="5" s="1"/>
  <c r="U34" i="5"/>
  <c r="V34" i="5" s="1"/>
  <c r="U31" i="5"/>
  <c r="V31" i="5" s="1"/>
  <c r="U12" i="5"/>
  <c r="V12" i="5" s="1"/>
  <c r="U11" i="5"/>
  <c r="V11" i="5" s="1"/>
  <c r="U10" i="5"/>
  <c r="V10" i="5" s="1"/>
  <c r="T60" i="4"/>
  <c r="T28" i="6"/>
  <c r="T74" i="4"/>
  <c r="S74" i="4"/>
  <c r="T40" i="4"/>
  <c r="T85" i="4"/>
  <c r="T83" i="4"/>
  <c r="T81" i="4"/>
  <c r="T80" i="4"/>
  <c r="T79" i="4"/>
  <c r="T78" i="4"/>
  <c r="T77" i="4"/>
  <c r="T76" i="4"/>
  <c r="T75" i="4"/>
  <c r="T73" i="4"/>
  <c r="T67" i="4"/>
  <c r="T65" i="4"/>
  <c r="T51" i="4"/>
  <c r="T49" i="4"/>
  <c r="T48" i="4"/>
  <c r="T47" i="4"/>
  <c r="T45" i="4"/>
  <c r="T44" i="4"/>
  <c r="T39" i="4"/>
  <c r="T36" i="4"/>
  <c r="T35" i="4"/>
  <c r="T28" i="4"/>
  <c r="U28" i="4" s="1"/>
  <c r="V28" i="4" s="1"/>
  <c r="T27" i="4"/>
  <c r="T18" i="4"/>
  <c r="T37" i="4"/>
  <c r="U37" i="4" s="1"/>
  <c r="V37" i="4" s="1"/>
  <c r="T32" i="4"/>
  <c r="T31" i="4"/>
  <c r="U31" i="4" s="1"/>
  <c r="V31" i="4" s="1"/>
  <c r="T90" i="6"/>
  <c r="T44" i="5"/>
  <c r="T42" i="5"/>
  <c r="T72" i="5"/>
  <c r="T72" i="6"/>
  <c r="U74" i="4" l="1"/>
  <c r="V74" i="4" s="1"/>
  <c r="U76" i="7"/>
  <c r="V76" i="7" s="1"/>
  <c r="T41" i="6"/>
  <c r="T83" i="6"/>
  <c r="T81" i="6"/>
  <c r="T79" i="6"/>
  <c r="T78" i="6"/>
  <c r="T77" i="6"/>
  <c r="T76" i="6"/>
  <c r="T75" i="6"/>
  <c r="T74" i="6"/>
  <c r="T73" i="6"/>
  <c r="T71" i="6"/>
  <c r="T80" i="6"/>
  <c r="U80" i="6" s="1"/>
  <c r="V80" i="6" s="1"/>
  <c r="T66" i="6"/>
  <c r="T58" i="6"/>
  <c r="T52" i="6"/>
  <c r="T50" i="6"/>
  <c r="T39" i="6"/>
  <c r="T36" i="6"/>
  <c r="T35" i="6"/>
  <c r="T27" i="6"/>
  <c r="T18" i="6"/>
  <c r="T30" i="6"/>
  <c r="T29" i="6"/>
  <c r="U29" i="6" s="1"/>
  <c r="V29" i="6" s="1"/>
  <c r="T38" i="6"/>
  <c r="U38" i="6" s="1"/>
  <c r="V38" i="6" s="1"/>
  <c r="T38" i="5"/>
  <c r="T30" i="3" l="1"/>
  <c r="T29" i="3"/>
  <c r="T81" i="5" l="1"/>
  <c r="T79" i="5"/>
  <c r="T78" i="5"/>
  <c r="T77" i="5"/>
  <c r="T76" i="5"/>
  <c r="T75" i="5"/>
  <c r="T74" i="5"/>
  <c r="T73" i="5"/>
  <c r="T71" i="5"/>
  <c r="T62" i="5"/>
  <c r="T54" i="5"/>
  <c r="T48" i="5"/>
  <c r="T46" i="5"/>
  <c r="T43" i="5"/>
  <c r="T41" i="5"/>
  <c r="T36" i="5"/>
  <c r="T33" i="5"/>
  <c r="T32" i="5"/>
  <c r="T30" i="5"/>
  <c r="T27" i="5"/>
  <c r="T29" i="5"/>
  <c r="T18" i="5"/>
  <c r="T90" i="5"/>
  <c r="U90" i="5" s="1"/>
  <c r="V90" i="5" s="1"/>
  <c r="T28" i="5"/>
  <c r="U28" i="5" s="1"/>
  <c r="V28" i="5" s="1"/>
  <c r="U219" i="3"/>
  <c r="V219" i="3" s="1"/>
  <c r="U218" i="3"/>
  <c r="V218" i="3" s="1"/>
  <c r="U217" i="3"/>
  <c r="V217" i="3" s="1"/>
  <c r="U216" i="3"/>
  <c r="V216" i="3" s="1"/>
  <c r="U215" i="3"/>
  <c r="V215" i="3" s="1"/>
  <c r="U214" i="3"/>
  <c r="V214" i="3" s="1"/>
  <c r="U213" i="3"/>
  <c r="V213" i="3" s="1"/>
  <c r="U212" i="3"/>
  <c r="V212" i="3" s="1"/>
  <c r="U211" i="3"/>
  <c r="V211" i="3" s="1"/>
  <c r="U210" i="3"/>
  <c r="V210" i="3" s="1"/>
  <c r="U209" i="3"/>
  <c r="V209" i="3" s="1"/>
  <c r="U208" i="3"/>
  <c r="V208" i="3" s="1"/>
  <c r="U207" i="3"/>
  <c r="V207" i="3" s="1"/>
  <c r="U206" i="3"/>
  <c r="V206" i="3" s="1"/>
  <c r="U205" i="3"/>
  <c r="V205" i="3" s="1"/>
  <c r="U204" i="3"/>
  <c r="V204" i="3" s="1"/>
  <c r="U203" i="3"/>
  <c r="V203" i="3" s="1"/>
  <c r="U202" i="3"/>
  <c r="V202" i="3" s="1"/>
  <c r="U201" i="3"/>
  <c r="V201" i="3" s="1"/>
  <c r="U200" i="3"/>
  <c r="V200" i="3" s="1"/>
  <c r="U199" i="3"/>
  <c r="V199" i="3" s="1"/>
  <c r="U198" i="3"/>
  <c r="V198" i="3" s="1"/>
  <c r="U197" i="3"/>
  <c r="V197" i="3" s="1"/>
  <c r="U196" i="3"/>
  <c r="V196" i="3" s="1"/>
  <c r="U195" i="3"/>
  <c r="V195" i="3" s="1"/>
  <c r="U194" i="3"/>
  <c r="V194" i="3" s="1"/>
  <c r="U193" i="3"/>
  <c r="V193" i="3" s="1"/>
  <c r="U192" i="3"/>
  <c r="V192" i="3" s="1"/>
  <c r="U191" i="3"/>
  <c r="V191" i="3" s="1"/>
  <c r="U190" i="3"/>
  <c r="V190" i="3" s="1"/>
  <c r="U189" i="3"/>
  <c r="V189" i="3" s="1"/>
  <c r="U188" i="3"/>
  <c r="V188" i="3" s="1"/>
  <c r="U187" i="3"/>
  <c r="V187" i="3" s="1"/>
  <c r="U186" i="3"/>
  <c r="V186" i="3" s="1"/>
  <c r="U185" i="3"/>
  <c r="V185" i="3" s="1"/>
  <c r="U184" i="3"/>
  <c r="V184" i="3" s="1"/>
  <c r="U183" i="3"/>
  <c r="V183" i="3" s="1"/>
  <c r="U182" i="3"/>
  <c r="V182" i="3" s="1"/>
  <c r="U181" i="3"/>
  <c r="V181" i="3" s="1"/>
  <c r="U180" i="3"/>
  <c r="V180" i="3" s="1"/>
  <c r="U179" i="3"/>
  <c r="V179" i="3" s="1"/>
  <c r="U178" i="3"/>
  <c r="V178" i="3" s="1"/>
  <c r="U177" i="3"/>
  <c r="V177" i="3" s="1"/>
  <c r="U176" i="3"/>
  <c r="V176" i="3" s="1"/>
  <c r="U175" i="3"/>
  <c r="V175" i="3" s="1"/>
  <c r="U174" i="3"/>
  <c r="V174" i="3" s="1"/>
  <c r="U173" i="3"/>
  <c r="V173" i="3" s="1"/>
  <c r="U172" i="3"/>
  <c r="V172" i="3" s="1"/>
  <c r="U171" i="3"/>
  <c r="V171" i="3" s="1"/>
  <c r="U170" i="3"/>
  <c r="V170" i="3" s="1"/>
  <c r="U169" i="3"/>
  <c r="V169" i="3" s="1"/>
  <c r="U168" i="3"/>
  <c r="V168" i="3" s="1"/>
  <c r="U167" i="3"/>
  <c r="V167" i="3" s="1"/>
  <c r="U166" i="3"/>
  <c r="V166" i="3" s="1"/>
  <c r="U165" i="3"/>
  <c r="V165" i="3" s="1"/>
  <c r="U164" i="3"/>
  <c r="V164" i="3" s="1"/>
  <c r="U163" i="3"/>
  <c r="V163" i="3" s="1"/>
  <c r="U162" i="3"/>
  <c r="V162" i="3" s="1"/>
  <c r="U161" i="3"/>
  <c r="V161" i="3" s="1"/>
  <c r="U160" i="3"/>
  <c r="V160" i="3" s="1"/>
  <c r="U159" i="3"/>
  <c r="V159" i="3" s="1"/>
  <c r="U158" i="3"/>
  <c r="V158" i="3" s="1"/>
  <c r="U157" i="3"/>
  <c r="V157" i="3" s="1"/>
  <c r="U156" i="3"/>
  <c r="V156" i="3" s="1"/>
  <c r="U155" i="3"/>
  <c r="V155" i="3" s="1"/>
  <c r="U154" i="3"/>
  <c r="V154" i="3" s="1"/>
  <c r="U153" i="3"/>
  <c r="V153" i="3" s="1"/>
  <c r="U152" i="3"/>
  <c r="V152" i="3" s="1"/>
  <c r="U151" i="3"/>
  <c r="V151" i="3" s="1"/>
  <c r="U150" i="3"/>
  <c r="V150" i="3" s="1"/>
  <c r="U149" i="3"/>
  <c r="V149" i="3" s="1"/>
  <c r="U148" i="3"/>
  <c r="V148" i="3" s="1"/>
  <c r="U147" i="3"/>
  <c r="V147" i="3" s="1"/>
  <c r="U146" i="3"/>
  <c r="V146" i="3" s="1"/>
  <c r="U145" i="3"/>
  <c r="V145" i="3" s="1"/>
  <c r="U144" i="3"/>
  <c r="V144" i="3" s="1"/>
  <c r="U143" i="3"/>
  <c r="V143" i="3" s="1"/>
  <c r="U142" i="3"/>
  <c r="V142" i="3" s="1"/>
  <c r="U141" i="3"/>
  <c r="V141" i="3" s="1"/>
  <c r="U140" i="3"/>
  <c r="V140" i="3" s="1"/>
  <c r="U139" i="3"/>
  <c r="V139" i="3" s="1"/>
  <c r="U138" i="3"/>
  <c r="V138" i="3" s="1"/>
  <c r="U137" i="3"/>
  <c r="V137" i="3" s="1"/>
  <c r="U136" i="3"/>
  <c r="V136" i="3" s="1"/>
  <c r="U135" i="3"/>
  <c r="V135" i="3" s="1"/>
  <c r="U134" i="3"/>
  <c r="V134" i="3" s="1"/>
  <c r="U133" i="3"/>
  <c r="V133" i="3" s="1"/>
  <c r="U132" i="3"/>
  <c r="V132" i="3" s="1"/>
  <c r="U131" i="3"/>
  <c r="V131" i="3" s="1"/>
  <c r="U130" i="3"/>
  <c r="V130" i="3" s="1"/>
  <c r="U129" i="3"/>
  <c r="V129" i="3" s="1"/>
  <c r="U128" i="3"/>
  <c r="V128" i="3" s="1"/>
  <c r="U127" i="3"/>
  <c r="V127" i="3" s="1"/>
  <c r="U126" i="3"/>
  <c r="V126" i="3" s="1"/>
  <c r="U125" i="3"/>
  <c r="V125" i="3" s="1"/>
  <c r="U124" i="3"/>
  <c r="V124" i="3" s="1"/>
  <c r="U123" i="3"/>
  <c r="V123" i="3" s="1"/>
  <c r="U122" i="3"/>
  <c r="V122" i="3" s="1"/>
  <c r="U121" i="3"/>
  <c r="V121" i="3" s="1"/>
  <c r="U120" i="3"/>
  <c r="V120" i="3" s="1"/>
  <c r="U119" i="3"/>
  <c r="V119" i="3" s="1"/>
  <c r="U118" i="3"/>
  <c r="V118" i="3" s="1"/>
  <c r="U117" i="3"/>
  <c r="V117" i="3" s="1"/>
  <c r="U116" i="3"/>
  <c r="V116" i="3" s="1"/>
  <c r="U115" i="3"/>
  <c r="V115" i="3" s="1"/>
  <c r="U114" i="3"/>
  <c r="V114" i="3" s="1"/>
  <c r="U113" i="3"/>
  <c r="V113" i="3" s="1"/>
  <c r="U112" i="3"/>
  <c r="V112" i="3" s="1"/>
  <c r="U111" i="3"/>
  <c r="V111" i="3" s="1"/>
  <c r="U110" i="3"/>
  <c r="V110" i="3" s="1"/>
  <c r="U109" i="3"/>
  <c r="V109" i="3" s="1"/>
  <c r="U108" i="3"/>
  <c r="V108" i="3" s="1"/>
  <c r="U107" i="3"/>
  <c r="V107" i="3" s="1"/>
  <c r="U106" i="3"/>
  <c r="V106" i="3" s="1"/>
  <c r="U105" i="3"/>
  <c r="V105" i="3" s="1"/>
  <c r="U104" i="3"/>
  <c r="V104" i="3" s="1"/>
  <c r="U103" i="3"/>
  <c r="V103" i="3" s="1"/>
  <c r="U102" i="3"/>
  <c r="V102" i="3" s="1"/>
  <c r="U101" i="3"/>
  <c r="V101" i="3" s="1"/>
  <c r="U100" i="3"/>
  <c r="V100" i="3" s="1"/>
  <c r="U99" i="3"/>
  <c r="V99" i="3" s="1"/>
  <c r="U98" i="3"/>
  <c r="V98" i="3" s="1"/>
  <c r="U96" i="3"/>
  <c r="V96" i="3" s="1"/>
  <c r="U95" i="3"/>
  <c r="V95" i="3" s="1"/>
  <c r="U94" i="3"/>
  <c r="V94" i="3" s="1"/>
  <c r="U93" i="3"/>
  <c r="V93" i="3" s="1"/>
  <c r="U92" i="3"/>
  <c r="V92" i="3" s="1"/>
  <c r="U91" i="3"/>
  <c r="V91" i="3" s="1"/>
  <c r="U90" i="3"/>
  <c r="V90" i="3" s="1"/>
  <c r="U89" i="3"/>
  <c r="V89" i="3" s="1"/>
  <c r="U87" i="3"/>
  <c r="V87" i="3" s="1"/>
  <c r="U83" i="3"/>
  <c r="V83" i="3" s="1"/>
  <c r="U81" i="3"/>
  <c r="V81" i="3" s="1"/>
  <c r="U68" i="3"/>
  <c r="V68" i="3" s="1"/>
  <c r="U67" i="3"/>
  <c r="V67" i="3" s="1"/>
  <c r="U66" i="3"/>
  <c r="V66" i="3" s="1"/>
  <c r="U65" i="3"/>
  <c r="V65" i="3" s="1"/>
  <c r="U63" i="3"/>
  <c r="V63" i="3" s="1"/>
  <c r="U62" i="3"/>
  <c r="V62" i="3" s="1"/>
  <c r="U61" i="3"/>
  <c r="V61" i="3" s="1"/>
  <c r="U60" i="3"/>
  <c r="V60" i="3" s="1"/>
  <c r="U59" i="3"/>
  <c r="V59" i="3" s="1"/>
  <c r="U58" i="3"/>
  <c r="V58" i="3" s="1"/>
  <c r="U56" i="3"/>
  <c r="V56" i="3" s="1"/>
  <c r="U54" i="3"/>
  <c r="V54" i="3" s="1"/>
  <c r="U53" i="3"/>
  <c r="V53" i="3" s="1"/>
  <c r="U52" i="3"/>
  <c r="V52" i="3" s="1"/>
  <c r="U51" i="3"/>
  <c r="V51" i="3" s="1"/>
  <c r="U50" i="3"/>
  <c r="V50" i="3" s="1"/>
  <c r="U48" i="3"/>
  <c r="V48" i="3" s="1"/>
  <c r="U40" i="3"/>
  <c r="V40" i="3" s="1"/>
  <c r="U37" i="3"/>
  <c r="V37" i="3" s="1"/>
  <c r="U35" i="3"/>
  <c r="V35" i="3" s="1"/>
  <c r="U31" i="3"/>
  <c r="V31" i="3" s="1"/>
  <c r="T88" i="3"/>
  <c r="T71" i="3"/>
  <c r="T82" i="3"/>
  <c r="T80" i="3"/>
  <c r="T78" i="3"/>
  <c r="T77" i="3"/>
  <c r="T76" i="3"/>
  <c r="T75" i="3"/>
  <c r="T74" i="3"/>
  <c r="T73" i="3"/>
  <c r="T72" i="3"/>
  <c r="T70" i="3"/>
  <c r="T64" i="3"/>
  <c r="T57" i="3"/>
  <c r="T55" i="3"/>
  <c r="T49" i="3"/>
  <c r="T47" i="3"/>
  <c r="T46" i="3"/>
  <c r="T45" i="3"/>
  <c r="T44" i="3"/>
  <c r="T43" i="3"/>
  <c r="T42" i="3"/>
  <c r="T38" i="3"/>
  <c r="T36" i="3"/>
  <c r="T33" i="3"/>
  <c r="T32" i="3"/>
  <c r="T27" i="3"/>
  <c r="T18" i="3"/>
  <c r="T97" i="3"/>
  <c r="U97" i="3" s="1"/>
  <c r="V97" i="3" s="1"/>
  <c r="T79" i="3"/>
  <c r="U79" i="3" s="1"/>
  <c r="V79" i="3" s="1"/>
  <c r="T41" i="3"/>
  <c r="U41" i="3" s="1"/>
  <c r="V41" i="3" s="1"/>
  <c r="T34" i="3"/>
  <c r="U34" i="3" s="1"/>
  <c r="V34" i="3" s="1"/>
  <c r="T28" i="3"/>
  <c r="U28" i="3" s="1"/>
  <c r="V28" i="3" s="1"/>
  <c r="T9" i="11"/>
  <c r="T9" i="8"/>
  <c r="T9" i="7"/>
  <c r="T9" i="4"/>
  <c r="T12" i="6"/>
  <c r="U12" i="6" s="1"/>
  <c r="V12" i="6" s="1"/>
  <c r="T11" i="6"/>
  <c r="U11" i="6" s="1"/>
  <c r="V11" i="6" s="1"/>
  <c r="T10" i="6"/>
  <c r="U10" i="6" s="1"/>
  <c r="V10" i="6" s="1"/>
  <c r="T9" i="6"/>
  <c r="T9" i="5"/>
  <c r="T12" i="3"/>
  <c r="U12" i="3" s="1"/>
  <c r="V12" i="3" s="1"/>
  <c r="T11" i="3"/>
  <c r="U11" i="3" s="1"/>
  <c r="V11" i="3" s="1"/>
  <c r="T10" i="3"/>
  <c r="U10" i="3" s="1"/>
  <c r="V10" i="3" s="1"/>
  <c r="T9" i="3"/>
  <c r="T196" i="11" l="1"/>
  <c r="T198" i="11"/>
  <c r="T200" i="11"/>
  <c r="T78" i="11"/>
  <c r="T66" i="11"/>
  <c r="T26" i="11"/>
  <c r="T13" i="11"/>
  <c r="U9" i="10"/>
  <c r="V9" i="10" s="1"/>
  <c r="T205" i="10"/>
  <c r="T78" i="10"/>
  <c r="T64" i="10"/>
  <c r="T26" i="10"/>
  <c r="T13" i="10"/>
  <c r="U9" i="12"/>
  <c r="V9" i="12" s="1"/>
  <c r="T191" i="12"/>
  <c r="T195" i="12"/>
  <c r="T78" i="12"/>
  <c r="T64" i="12"/>
  <c r="T26" i="12"/>
  <c r="T13" i="12"/>
  <c r="T234" i="9"/>
  <c r="T236" i="9"/>
  <c r="T79" i="9"/>
  <c r="T66" i="9"/>
  <c r="T26" i="9"/>
  <c r="T13" i="9"/>
  <c r="T245" i="8"/>
  <c r="T247" i="8"/>
  <c r="T249" i="8"/>
  <c r="T88" i="8"/>
  <c r="T73" i="8"/>
  <c r="T26" i="8"/>
  <c r="T13" i="8"/>
  <c r="T235" i="7"/>
  <c r="M46" i="13" s="1"/>
  <c r="M49" i="13" s="1"/>
  <c r="T237" i="7"/>
  <c r="T239" i="7"/>
  <c r="T89" i="7"/>
  <c r="T74" i="7"/>
  <c r="T26" i="7"/>
  <c r="T13" i="7"/>
  <c r="T238" i="4"/>
  <c r="T240" i="4"/>
  <c r="T236" i="4"/>
  <c r="M38" i="13" s="1"/>
  <c r="M41" i="13" s="1"/>
  <c r="T87" i="4"/>
  <c r="T72" i="4"/>
  <c r="T26" i="4"/>
  <c r="T13" i="4"/>
  <c r="T232" i="6"/>
  <c r="T234" i="6"/>
  <c r="T230" i="6"/>
  <c r="T85" i="6"/>
  <c r="T70" i="6"/>
  <c r="T26" i="6"/>
  <c r="T13" i="6"/>
  <c r="T221" i="5"/>
  <c r="T219" i="5"/>
  <c r="T217" i="5"/>
  <c r="T85" i="5"/>
  <c r="T70" i="5"/>
  <c r="T26" i="5"/>
  <c r="T13" i="5"/>
  <c r="T224" i="3"/>
  <c r="T222" i="3"/>
  <c r="T220" i="3"/>
  <c r="T84" i="3"/>
  <c r="T69" i="3"/>
  <c r="T26" i="3"/>
  <c r="T13" i="3"/>
  <c r="T80" i="10" l="1"/>
  <c r="T211" i="10" s="1"/>
  <c r="T80" i="11"/>
  <c r="T202" i="11" s="1"/>
  <c r="T80" i="12"/>
  <c r="T197" i="12" s="1"/>
  <c r="T81" i="9"/>
  <c r="T238" i="9" s="1"/>
  <c r="T90" i="8"/>
  <c r="T251" i="8" s="1"/>
  <c r="T91" i="7"/>
  <c r="T241" i="7" s="1"/>
  <c r="T89" i="4"/>
  <c r="T242" i="4" s="1"/>
  <c r="T87" i="6"/>
  <c r="T236" i="6" s="1"/>
  <c r="T87" i="5"/>
  <c r="T223" i="5" s="1"/>
  <c r="T86" i="3"/>
  <c r="T226" i="3" s="1"/>
  <c r="K89" i="13"/>
  <c r="K111" i="13" s="1"/>
  <c r="G89" i="13"/>
  <c r="G111" i="13" s="1"/>
  <c r="F89" i="13"/>
  <c r="F111" i="13" s="1"/>
  <c r="E89" i="13"/>
  <c r="E111" i="13" s="1"/>
  <c r="D89" i="13"/>
  <c r="D111" i="13" s="1"/>
  <c r="C89" i="13"/>
  <c r="C111" i="13" s="1"/>
  <c r="B89" i="13"/>
  <c r="B111" i="13" s="1"/>
  <c r="J85" i="13"/>
  <c r="I85" i="13"/>
  <c r="H85" i="13"/>
  <c r="J84" i="13"/>
  <c r="I84" i="13"/>
  <c r="H84" i="13"/>
  <c r="K81" i="13"/>
  <c r="K110" i="13" s="1"/>
  <c r="J81" i="13"/>
  <c r="J110" i="13" s="1"/>
  <c r="I81" i="13"/>
  <c r="I110" i="13" s="1"/>
  <c r="H81" i="13"/>
  <c r="H110" i="13" s="1"/>
  <c r="G81" i="13"/>
  <c r="G110" i="13" s="1"/>
  <c r="F81" i="13"/>
  <c r="F110" i="13" s="1"/>
  <c r="E81" i="13"/>
  <c r="E110" i="13" s="1"/>
  <c r="D81" i="13"/>
  <c r="D110" i="13" s="1"/>
  <c r="C81" i="13"/>
  <c r="C110" i="13" s="1"/>
  <c r="B81" i="13"/>
  <c r="B110" i="13" s="1"/>
  <c r="K73" i="13"/>
  <c r="K114" i="13" s="1"/>
  <c r="J73" i="13"/>
  <c r="J114" i="13" s="1"/>
  <c r="I73" i="13"/>
  <c r="I114" i="13" s="1"/>
  <c r="H73" i="13"/>
  <c r="H114" i="13" s="1"/>
  <c r="G73" i="13"/>
  <c r="G114" i="13" s="1"/>
  <c r="F73" i="13"/>
  <c r="F114" i="13" s="1"/>
  <c r="E73" i="13"/>
  <c r="E114" i="13" s="1"/>
  <c r="D73" i="13"/>
  <c r="D114" i="13" s="1"/>
  <c r="C73" i="13"/>
  <c r="C114" i="13" s="1"/>
  <c r="B73" i="13"/>
  <c r="B114" i="13" s="1"/>
  <c r="K65" i="13"/>
  <c r="K112" i="13" s="1"/>
  <c r="J65" i="13"/>
  <c r="J112" i="13" s="1"/>
  <c r="I65" i="13"/>
  <c r="I112" i="13" s="1"/>
  <c r="H65" i="13"/>
  <c r="H112" i="13" s="1"/>
  <c r="G65" i="13"/>
  <c r="G112" i="13" s="1"/>
  <c r="F65" i="13"/>
  <c r="F112" i="13" s="1"/>
  <c r="E65" i="13"/>
  <c r="E112" i="13" s="1"/>
  <c r="D65" i="13"/>
  <c r="D112" i="13" s="1"/>
  <c r="C65" i="13"/>
  <c r="C112" i="13" s="1"/>
  <c r="B65" i="13"/>
  <c r="B112" i="13" s="1"/>
  <c r="K57" i="13"/>
  <c r="K109" i="13" s="1"/>
  <c r="G57" i="13"/>
  <c r="G109" i="13" s="1"/>
  <c r="F57" i="13"/>
  <c r="F109" i="13" s="1"/>
  <c r="E57" i="13"/>
  <c r="E109" i="13" s="1"/>
  <c r="D57" i="13"/>
  <c r="D109" i="13" s="1"/>
  <c r="C57" i="13"/>
  <c r="C109" i="13" s="1"/>
  <c r="B57" i="13"/>
  <c r="B109" i="13" s="1"/>
  <c r="J53" i="13"/>
  <c r="I53" i="13"/>
  <c r="H53" i="13"/>
  <c r="J52" i="13"/>
  <c r="I52" i="13"/>
  <c r="H52" i="13"/>
  <c r="K49" i="13"/>
  <c r="K108" i="13" s="1"/>
  <c r="G49" i="13"/>
  <c r="G108" i="13" s="1"/>
  <c r="F49" i="13"/>
  <c r="F108" i="13" s="1"/>
  <c r="E49" i="13"/>
  <c r="E108" i="13" s="1"/>
  <c r="D49" i="13"/>
  <c r="D108" i="13" s="1"/>
  <c r="C49" i="13"/>
  <c r="C108" i="13" s="1"/>
  <c r="B49" i="13"/>
  <c r="B108" i="13" s="1"/>
  <c r="J45" i="13"/>
  <c r="I45" i="13"/>
  <c r="H45" i="13"/>
  <c r="J44" i="13"/>
  <c r="I44" i="13"/>
  <c r="H44" i="13"/>
  <c r="K41" i="13"/>
  <c r="K107" i="13" s="1"/>
  <c r="G41" i="13"/>
  <c r="G107" i="13" s="1"/>
  <c r="F41" i="13"/>
  <c r="F107" i="13" s="1"/>
  <c r="E41" i="13"/>
  <c r="E107" i="13" s="1"/>
  <c r="D41" i="13"/>
  <c r="D107" i="13" s="1"/>
  <c r="C41" i="13"/>
  <c r="C107" i="13" s="1"/>
  <c r="B41" i="13"/>
  <c r="B107" i="13" s="1"/>
  <c r="J37" i="13"/>
  <c r="I37" i="13"/>
  <c r="H37" i="13"/>
  <c r="J36" i="13"/>
  <c r="I36" i="13"/>
  <c r="H36" i="13"/>
  <c r="K30" i="13"/>
  <c r="K95" i="13" s="1"/>
  <c r="J30" i="13"/>
  <c r="J95" i="13" s="1"/>
  <c r="I30" i="13"/>
  <c r="I95" i="13" s="1"/>
  <c r="H30" i="13"/>
  <c r="H95" i="13" s="1"/>
  <c r="G30" i="13"/>
  <c r="G95" i="13" s="1"/>
  <c r="F30" i="13"/>
  <c r="F95" i="13" s="1"/>
  <c r="E30" i="13"/>
  <c r="E95" i="13" s="1"/>
  <c r="D30" i="13"/>
  <c r="D95" i="13" s="1"/>
  <c r="C30" i="13"/>
  <c r="C95" i="13" s="1"/>
  <c r="B30" i="13"/>
  <c r="B95" i="13" s="1"/>
  <c r="K29" i="13"/>
  <c r="K94" i="13" s="1"/>
  <c r="J29" i="13"/>
  <c r="I29" i="13"/>
  <c r="H29" i="13"/>
  <c r="G29" i="13"/>
  <c r="G94" i="13" s="1"/>
  <c r="F29" i="13"/>
  <c r="F94" i="13" s="1"/>
  <c r="E29" i="13"/>
  <c r="E94" i="13" s="1"/>
  <c r="D29" i="13"/>
  <c r="D94" i="13" s="1"/>
  <c r="C29" i="13"/>
  <c r="C94" i="13" s="1"/>
  <c r="B29" i="13"/>
  <c r="B94" i="13" s="1"/>
  <c r="K28" i="13"/>
  <c r="K93" i="13" s="1"/>
  <c r="J28" i="13"/>
  <c r="I28" i="13"/>
  <c r="H28" i="13"/>
  <c r="H93" i="13" l="1"/>
  <c r="I93" i="13"/>
  <c r="H49" i="13"/>
  <c r="H108" i="13" s="1"/>
  <c r="H89" i="13"/>
  <c r="H111" i="13" s="1"/>
  <c r="J93" i="13"/>
  <c r="J41" i="13"/>
  <c r="J107" i="13" s="1"/>
  <c r="I49" i="13"/>
  <c r="I108" i="13" s="1"/>
  <c r="I89" i="13"/>
  <c r="I111" i="13" s="1"/>
  <c r="I33" i="13"/>
  <c r="I106" i="13" s="1"/>
  <c r="J33" i="13"/>
  <c r="J106" i="13" s="1"/>
  <c r="H94" i="13"/>
  <c r="H41" i="13"/>
  <c r="H107" i="13" s="1"/>
  <c r="I94" i="13"/>
  <c r="I41" i="13"/>
  <c r="I107" i="13" s="1"/>
  <c r="I57" i="13"/>
  <c r="I109" i="13" s="1"/>
  <c r="J94" i="13"/>
  <c r="J89" i="13"/>
  <c r="J111" i="13" s="1"/>
  <c r="J49" i="13"/>
  <c r="J108" i="13" s="1"/>
  <c r="J57" i="13"/>
  <c r="J109" i="13" s="1"/>
  <c r="H57" i="13"/>
  <c r="H109" i="13" s="1"/>
  <c r="K96" i="13"/>
  <c r="K101" i="13" s="1"/>
  <c r="H33" i="13"/>
  <c r="H106" i="13" s="1"/>
  <c r="K33" i="13"/>
  <c r="K106" i="13" s="1"/>
  <c r="G28" i="13"/>
  <c r="F28" i="13"/>
  <c r="E28" i="13"/>
  <c r="D28" i="13"/>
  <c r="C28" i="13"/>
  <c r="B28" i="13"/>
  <c r="K25" i="13"/>
  <c r="J25" i="13"/>
  <c r="I25" i="13"/>
  <c r="H25" i="13"/>
  <c r="G25" i="13"/>
  <c r="F25" i="13"/>
  <c r="E25" i="13"/>
  <c r="D25" i="13"/>
  <c r="C25" i="13"/>
  <c r="B25" i="13"/>
  <c r="K17" i="13"/>
  <c r="J17" i="13"/>
  <c r="I17" i="13"/>
  <c r="H17" i="13"/>
  <c r="G17" i="13"/>
  <c r="F17" i="13"/>
  <c r="E17" i="13"/>
  <c r="D17" i="13"/>
  <c r="C17" i="13"/>
  <c r="B17" i="13"/>
  <c r="K9" i="13"/>
  <c r="J9" i="13"/>
  <c r="I9" i="13"/>
  <c r="H9" i="13"/>
  <c r="G9" i="13"/>
  <c r="F9" i="13"/>
  <c r="E9" i="13"/>
  <c r="D9" i="13"/>
  <c r="C9" i="13"/>
  <c r="B9" i="13"/>
  <c r="H96" i="13" l="1"/>
  <c r="H101" i="13" s="1"/>
  <c r="I96" i="13"/>
  <c r="I100" i="13" s="1"/>
  <c r="I113" i="13"/>
  <c r="I115" i="13" s="1"/>
  <c r="I118" i="13" s="1"/>
  <c r="J113" i="13"/>
  <c r="J115" i="13" s="1"/>
  <c r="J122" i="13" s="1"/>
  <c r="J96" i="13"/>
  <c r="J99" i="13" s="1"/>
  <c r="K99" i="13"/>
  <c r="K113" i="13"/>
  <c r="K115" i="13" s="1"/>
  <c r="K118" i="13" s="1"/>
  <c r="K100" i="13"/>
  <c r="B93" i="13"/>
  <c r="B33" i="13"/>
  <c r="B106" i="13" s="1"/>
  <c r="C93" i="13"/>
  <c r="C33" i="13"/>
  <c r="C106" i="13" s="1"/>
  <c r="H113" i="13"/>
  <c r="H115" i="13" s="1"/>
  <c r="H118" i="13" s="1"/>
  <c r="D93" i="13"/>
  <c r="D33" i="13"/>
  <c r="D106" i="13" s="1"/>
  <c r="E93" i="13"/>
  <c r="E33" i="13"/>
  <c r="E106" i="13" s="1"/>
  <c r="F93" i="13"/>
  <c r="F33" i="13"/>
  <c r="F106" i="13" s="1"/>
  <c r="G93" i="13"/>
  <c r="G33" i="13"/>
  <c r="G106" i="13" s="1"/>
  <c r="S200" i="11"/>
  <c r="U200" i="11" s="1"/>
  <c r="V200" i="11" s="1"/>
  <c r="R200" i="11"/>
  <c r="S198" i="11"/>
  <c r="U198" i="11" s="1"/>
  <c r="V198" i="11" s="1"/>
  <c r="R198" i="11"/>
  <c r="S196" i="11"/>
  <c r="L86" i="13" s="1"/>
  <c r="S68" i="11"/>
  <c r="U68" i="11" s="1"/>
  <c r="V68" i="11" s="1"/>
  <c r="S77" i="11"/>
  <c r="U77" i="11" s="1"/>
  <c r="V77" i="11" s="1"/>
  <c r="S76" i="11"/>
  <c r="U76" i="11" s="1"/>
  <c r="V76" i="11" s="1"/>
  <c r="S75" i="11"/>
  <c r="U75" i="11" s="1"/>
  <c r="V75" i="11" s="1"/>
  <c r="S74" i="11"/>
  <c r="U74" i="11" s="1"/>
  <c r="V74" i="11" s="1"/>
  <c r="S73" i="11"/>
  <c r="U73" i="11" s="1"/>
  <c r="V73" i="11" s="1"/>
  <c r="S72" i="11"/>
  <c r="U72" i="11" s="1"/>
  <c r="V72" i="11" s="1"/>
  <c r="S71" i="11"/>
  <c r="U71" i="11" s="1"/>
  <c r="V71" i="11" s="1"/>
  <c r="S70" i="11"/>
  <c r="U70" i="11" s="1"/>
  <c r="V70" i="11" s="1"/>
  <c r="S69" i="11"/>
  <c r="U69" i="11" s="1"/>
  <c r="V69" i="11" s="1"/>
  <c r="S67" i="11"/>
  <c r="U67" i="11" s="1"/>
  <c r="V67" i="11" s="1"/>
  <c r="S63" i="11"/>
  <c r="U63" i="11" s="1"/>
  <c r="V63" i="11" s="1"/>
  <c r="S57" i="11"/>
  <c r="U57" i="11" s="1"/>
  <c r="V57" i="11" s="1"/>
  <c r="S55" i="11"/>
  <c r="U55" i="11" s="1"/>
  <c r="V55" i="11" s="1"/>
  <c r="S49" i="11"/>
  <c r="U49" i="11" s="1"/>
  <c r="V49" i="11" s="1"/>
  <c r="S47" i="11"/>
  <c r="U47" i="11" s="1"/>
  <c r="V47" i="11" s="1"/>
  <c r="S46" i="11"/>
  <c r="U46" i="11" s="1"/>
  <c r="V46" i="11" s="1"/>
  <c r="S45" i="11"/>
  <c r="U45" i="11" s="1"/>
  <c r="V45" i="11" s="1"/>
  <c r="S44" i="11"/>
  <c r="U44" i="11" s="1"/>
  <c r="V44" i="11" s="1"/>
  <c r="S43" i="11"/>
  <c r="U43" i="11" s="1"/>
  <c r="V43" i="11" s="1"/>
  <c r="S42" i="11"/>
  <c r="U42" i="11" s="1"/>
  <c r="V42" i="11" s="1"/>
  <c r="S40" i="11"/>
  <c r="U40" i="11" s="1"/>
  <c r="V40" i="11" s="1"/>
  <c r="S39" i="11"/>
  <c r="U39" i="11" s="1"/>
  <c r="V39" i="11" s="1"/>
  <c r="S37" i="11"/>
  <c r="U37" i="11" s="1"/>
  <c r="V37" i="11" s="1"/>
  <c r="S34" i="11"/>
  <c r="U34" i="11" s="1"/>
  <c r="V34" i="11" s="1"/>
  <c r="S33" i="11"/>
  <c r="U33" i="11" s="1"/>
  <c r="V33" i="11" s="1"/>
  <c r="S31" i="11"/>
  <c r="U31" i="11" s="1"/>
  <c r="V31" i="11" s="1"/>
  <c r="S29" i="11"/>
  <c r="U29" i="11" s="1"/>
  <c r="V29" i="11" s="1"/>
  <c r="S27" i="11"/>
  <c r="U27" i="11" s="1"/>
  <c r="V27" i="11" s="1"/>
  <c r="S18" i="11"/>
  <c r="U18" i="11" s="1"/>
  <c r="V18" i="11" s="1"/>
  <c r="S9" i="11"/>
  <c r="S84" i="10"/>
  <c r="U84" i="10" s="1"/>
  <c r="V84" i="10" s="1"/>
  <c r="S81" i="10"/>
  <c r="U81" i="10" s="1"/>
  <c r="V81" i="10" s="1"/>
  <c r="I101" i="13" l="1"/>
  <c r="I125" i="13"/>
  <c r="I99" i="13"/>
  <c r="I122" i="13"/>
  <c r="H100" i="13"/>
  <c r="H99" i="13"/>
  <c r="J123" i="13"/>
  <c r="J118" i="13"/>
  <c r="J121" i="13"/>
  <c r="K102" i="13"/>
  <c r="J101" i="13"/>
  <c r="I123" i="13"/>
  <c r="I121" i="13"/>
  <c r="J124" i="13"/>
  <c r="I124" i="13"/>
  <c r="I120" i="13"/>
  <c r="I119" i="13"/>
  <c r="J119" i="13"/>
  <c r="J125" i="13"/>
  <c r="J120" i="13"/>
  <c r="J100" i="13"/>
  <c r="B113" i="13"/>
  <c r="B115" i="13" s="1"/>
  <c r="F96" i="13"/>
  <c r="S205" i="10"/>
  <c r="L78" i="13" s="1"/>
  <c r="L81" i="13" s="1"/>
  <c r="L110" i="13" s="1"/>
  <c r="E113" i="13"/>
  <c r="E115" i="13" s="1"/>
  <c r="E118" i="13" s="1"/>
  <c r="B96" i="13"/>
  <c r="B99" i="13" s="1"/>
  <c r="G113" i="13"/>
  <c r="G115" i="13" s="1"/>
  <c r="G118" i="13" s="1"/>
  <c r="E96" i="13"/>
  <c r="H123" i="13"/>
  <c r="H122" i="13"/>
  <c r="H120" i="13"/>
  <c r="H119" i="13"/>
  <c r="H121" i="13"/>
  <c r="H124" i="13"/>
  <c r="H125" i="13"/>
  <c r="G96" i="13"/>
  <c r="G99" i="13" s="1"/>
  <c r="C113" i="13"/>
  <c r="C115" i="13" s="1"/>
  <c r="C118" i="13" s="1"/>
  <c r="K123" i="13"/>
  <c r="K119" i="13"/>
  <c r="K122" i="13"/>
  <c r="K120" i="13"/>
  <c r="K121" i="13"/>
  <c r="K125" i="13"/>
  <c r="K124" i="13"/>
  <c r="F113" i="13"/>
  <c r="F115" i="13" s="1"/>
  <c r="S13" i="11"/>
  <c r="U9" i="11"/>
  <c r="V9" i="11" s="1"/>
  <c r="D113" i="13"/>
  <c r="D115" i="13" s="1"/>
  <c r="D118" i="13" s="1"/>
  <c r="C96" i="13"/>
  <c r="C99" i="13" s="1"/>
  <c r="S26" i="11"/>
  <c r="L84" i="13" s="1"/>
  <c r="D96" i="13"/>
  <c r="S78" i="11"/>
  <c r="L85" i="13" s="1"/>
  <c r="S66" i="11"/>
  <c r="S78" i="10"/>
  <c r="S64" i="10"/>
  <c r="S26" i="10"/>
  <c r="S13" i="10"/>
  <c r="S10" i="4"/>
  <c r="U10" i="4" s="1"/>
  <c r="V10" i="4" s="1"/>
  <c r="S10" i="8"/>
  <c r="U10" i="8" s="1"/>
  <c r="V10" i="8" s="1"/>
  <c r="S11" i="9"/>
  <c r="U11" i="9" s="1"/>
  <c r="V11" i="9" s="1"/>
  <c r="S10" i="9"/>
  <c r="U10" i="9" s="1"/>
  <c r="V10" i="9" s="1"/>
  <c r="I102" i="13" l="1"/>
  <c r="H102" i="13"/>
  <c r="I126" i="13"/>
  <c r="J102" i="13"/>
  <c r="J126" i="13"/>
  <c r="H126" i="13"/>
  <c r="K126" i="13"/>
  <c r="F121" i="13"/>
  <c r="F120" i="13"/>
  <c r="F119" i="13"/>
  <c r="F123" i="13"/>
  <c r="F125" i="13"/>
  <c r="F124" i="13"/>
  <c r="F122" i="13"/>
  <c r="F118" i="13"/>
  <c r="G123" i="13"/>
  <c r="G120" i="13"/>
  <c r="G121" i="13"/>
  <c r="G119" i="13"/>
  <c r="G124" i="13"/>
  <c r="G125" i="13"/>
  <c r="G122" i="13"/>
  <c r="F101" i="13"/>
  <c r="F100" i="13"/>
  <c r="B101" i="13"/>
  <c r="B100" i="13"/>
  <c r="F99" i="13"/>
  <c r="G101" i="13"/>
  <c r="G100" i="13"/>
  <c r="D100" i="13"/>
  <c r="D101" i="13"/>
  <c r="D122" i="13"/>
  <c r="D124" i="13"/>
  <c r="D125" i="13"/>
  <c r="D123" i="13"/>
  <c r="D120" i="13"/>
  <c r="D121" i="13"/>
  <c r="D119" i="13"/>
  <c r="D99" i="13"/>
  <c r="B119" i="13"/>
  <c r="B120" i="13"/>
  <c r="B123" i="13"/>
  <c r="B122" i="13"/>
  <c r="B121" i="13"/>
  <c r="B124" i="13"/>
  <c r="B125" i="13"/>
  <c r="C122" i="13"/>
  <c r="C123" i="13"/>
  <c r="C124" i="13"/>
  <c r="C120" i="13"/>
  <c r="C121" i="13"/>
  <c r="C119" i="13"/>
  <c r="C125" i="13"/>
  <c r="S80" i="10"/>
  <c r="S211" i="10" s="1"/>
  <c r="E101" i="13"/>
  <c r="E100" i="13"/>
  <c r="B118" i="13"/>
  <c r="C100" i="13"/>
  <c r="C101" i="13"/>
  <c r="E99" i="13"/>
  <c r="E123" i="13"/>
  <c r="E119" i="13"/>
  <c r="E125" i="13"/>
  <c r="E120" i="13"/>
  <c r="E122" i="13"/>
  <c r="E121" i="13"/>
  <c r="E124" i="13"/>
  <c r="L89" i="13"/>
  <c r="L111" i="13" s="1"/>
  <c r="S80" i="11"/>
  <c r="S202" i="11" s="1"/>
  <c r="B102" i="13" l="1"/>
  <c r="D102" i="13"/>
  <c r="C102" i="13"/>
  <c r="G102" i="13"/>
  <c r="G126" i="13"/>
  <c r="E126" i="13"/>
  <c r="D126" i="13"/>
  <c r="C126" i="13"/>
  <c r="F126" i="13"/>
  <c r="E102" i="13"/>
  <c r="B126" i="13"/>
  <c r="F102" i="13"/>
  <c r="S236" i="9"/>
  <c r="U236" i="9" s="1"/>
  <c r="V236" i="9" s="1"/>
  <c r="S234" i="9"/>
  <c r="U234" i="9" s="1"/>
  <c r="V234" i="9" s="1"/>
  <c r="R11" i="9"/>
  <c r="S9" i="9"/>
  <c r="U9" i="9" s="1"/>
  <c r="V9" i="9" s="1"/>
  <c r="S232" i="9"/>
  <c r="S66" i="9"/>
  <c r="S79" i="9"/>
  <c r="L61" i="13" s="1"/>
  <c r="S26" i="9"/>
  <c r="S179" i="12"/>
  <c r="U179" i="12" s="1"/>
  <c r="V179" i="12" s="1"/>
  <c r="S195" i="12"/>
  <c r="U195" i="12" s="1"/>
  <c r="V195" i="12" s="1"/>
  <c r="S78" i="12"/>
  <c r="R78" i="12"/>
  <c r="S64" i="12"/>
  <c r="R64" i="12"/>
  <c r="S26" i="12"/>
  <c r="R26" i="12"/>
  <c r="S13" i="12"/>
  <c r="R80" i="12" l="1"/>
  <c r="S80" i="12"/>
  <c r="S191" i="12"/>
  <c r="L62" i="13"/>
  <c r="S81" i="9"/>
  <c r="S238" i="9" s="1"/>
  <c r="L60" i="13"/>
  <c r="S13" i="9"/>
  <c r="S86" i="8"/>
  <c r="U86" i="8" s="1"/>
  <c r="V86" i="8" s="1"/>
  <c r="S84" i="8"/>
  <c r="U84" i="8" s="1"/>
  <c r="V84" i="8" s="1"/>
  <c r="S82" i="8"/>
  <c r="U82" i="8" s="1"/>
  <c r="V82" i="8" s="1"/>
  <c r="S81" i="8"/>
  <c r="U81" i="8" s="1"/>
  <c r="V81" i="8" s="1"/>
  <c r="S80" i="8"/>
  <c r="U80" i="8" s="1"/>
  <c r="V80" i="8" s="1"/>
  <c r="S79" i="8"/>
  <c r="U79" i="8" s="1"/>
  <c r="V79" i="8" s="1"/>
  <c r="S77" i="8"/>
  <c r="U77" i="8" s="1"/>
  <c r="V77" i="8" s="1"/>
  <c r="S78" i="8"/>
  <c r="U78" i="8" s="1"/>
  <c r="V78" i="8" s="1"/>
  <c r="S76" i="8"/>
  <c r="U76" i="8" s="1"/>
  <c r="V76" i="8" s="1"/>
  <c r="S74" i="8"/>
  <c r="U74" i="8" s="1"/>
  <c r="V74" i="8" s="1"/>
  <c r="S69" i="8"/>
  <c r="U69" i="8" s="1"/>
  <c r="V69" i="8" s="1"/>
  <c r="S63" i="8"/>
  <c r="U63" i="8" s="1"/>
  <c r="V63" i="8" s="1"/>
  <c r="S59" i="8"/>
  <c r="U59" i="8" s="1"/>
  <c r="V59" i="8" s="1"/>
  <c r="S53" i="8"/>
  <c r="U53" i="8" s="1"/>
  <c r="V53" i="8" s="1"/>
  <c r="S50" i="8"/>
  <c r="U50" i="8" s="1"/>
  <c r="V50" i="8" s="1"/>
  <c r="S49" i="8"/>
  <c r="U49" i="8" s="1"/>
  <c r="V49" i="8" s="1"/>
  <c r="S48" i="8"/>
  <c r="U48" i="8" s="1"/>
  <c r="V48" i="8" s="1"/>
  <c r="S47" i="8"/>
  <c r="U47" i="8" s="1"/>
  <c r="V47" i="8" s="1"/>
  <c r="S46" i="8"/>
  <c r="U46" i="8" s="1"/>
  <c r="V46" i="8" s="1"/>
  <c r="S45" i="8"/>
  <c r="U45" i="8" s="1"/>
  <c r="V45" i="8" s="1"/>
  <c r="S42" i="8"/>
  <c r="U42" i="8" s="1"/>
  <c r="V42" i="8" s="1"/>
  <c r="S41" i="8"/>
  <c r="U41" i="8" s="1"/>
  <c r="V41" i="8" s="1"/>
  <c r="S39" i="8"/>
  <c r="U39" i="8" s="1"/>
  <c r="V39" i="8" s="1"/>
  <c r="S36" i="8"/>
  <c r="U36" i="8" s="1"/>
  <c r="V36" i="8" s="1"/>
  <c r="S35" i="8"/>
  <c r="U35" i="8" s="1"/>
  <c r="V35" i="8" s="1"/>
  <c r="S29" i="8"/>
  <c r="U29" i="8" s="1"/>
  <c r="V29" i="8" s="1"/>
  <c r="S32" i="8"/>
  <c r="U32" i="8" s="1"/>
  <c r="V32" i="8" s="1"/>
  <c r="S27" i="8"/>
  <c r="U27" i="8" s="1"/>
  <c r="V27" i="8" s="1"/>
  <c r="S18" i="8"/>
  <c r="U18" i="8" s="1"/>
  <c r="V18" i="8" s="1"/>
  <c r="S249" i="8"/>
  <c r="U249" i="8" s="1"/>
  <c r="V249" i="8" s="1"/>
  <c r="S247" i="8"/>
  <c r="U247" i="8" s="1"/>
  <c r="V247" i="8" s="1"/>
  <c r="S245" i="8"/>
  <c r="L54" i="13" s="1"/>
  <c r="S9" i="8"/>
  <c r="U9" i="8" s="1"/>
  <c r="V9" i="8" s="1"/>
  <c r="S197" i="12" l="1"/>
  <c r="L70" i="13"/>
  <c r="L73" i="13" s="1"/>
  <c r="L114" i="13" s="1"/>
  <c r="S13" i="8"/>
  <c r="L65" i="13"/>
  <c r="L112" i="13" s="1"/>
  <c r="S26" i="8"/>
  <c r="L52" i="13" s="1"/>
  <c r="S88" i="8"/>
  <c r="L53" i="13" s="1"/>
  <c r="S73" i="8"/>
  <c r="S239" i="7"/>
  <c r="U239" i="7" s="1"/>
  <c r="V239" i="7" s="1"/>
  <c r="S237" i="7"/>
  <c r="U237" i="7" s="1"/>
  <c r="V237" i="7" s="1"/>
  <c r="S93" i="7"/>
  <c r="U93" i="7" s="1"/>
  <c r="V93" i="7" s="1"/>
  <c r="S87" i="7"/>
  <c r="U87" i="7" s="1"/>
  <c r="V87" i="7" s="1"/>
  <c r="S85" i="7"/>
  <c r="U85" i="7" s="1"/>
  <c r="V85" i="7" s="1"/>
  <c r="S83" i="7"/>
  <c r="U83" i="7" s="1"/>
  <c r="V83" i="7" s="1"/>
  <c r="S82" i="7"/>
  <c r="U82" i="7" s="1"/>
  <c r="V82" i="7" s="1"/>
  <c r="S81" i="7"/>
  <c r="U81" i="7" s="1"/>
  <c r="V81" i="7" s="1"/>
  <c r="S80" i="7"/>
  <c r="U80" i="7" s="1"/>
  <c r="V80" i="7" s="1"/>
  <c r="S79" i="7"/>
  <c r="U79" i="7" s="1"/>
  <c r="V79" i="7" s="1"/>
  <c r="S78" i="7"/>
  <c r="U78" i="7" s="1"/>
  <c r="V78" i="7" s="1"/>
  <c r="S77" i="7"/>
  <c r="U77" i="7" s="1"/>
  <c r="V77" i="7" s="1"/>
  <c r="S75" i="7"/>
  <c r="U75" i="7" s="1"/>
  <c r="V75" i="7" s="1"/>
  <c r="S68" i="7"/>
  <c r="U68" i="7" s="1"/>
  <c r="V68" i="7" s="1"/>
  <c r="S62" i="7"/>
  <c r="U62" i="7" s="1"/>
  <c r="V62" i="7" s="1"/>
  <c r="S57" i="7"/>
  <c r="U57" i="7" s="1"/>
  <c r="V57" i="7" s="1"/>
  <c r="S51" i="7"/>
  <c r="U51" i="7" s="1"/>
  <c r="V51" i="7" s="1"/>
  <c r="S49" i="7"/>
  <c r="U49" i="7" s="1"/>
  <c r="V49" i="7" s="1"/>
  <c r="S48" i="7"/>
  <c r="U48" i="7" s="1"/>
  <c r="V48" i="7" s="1"/>
  <c r="S47" i="7"/>
  <c r="U47" i="7" s="1"/>
  <c r="V47" i="7" s="1"/>
  <c r="S46" i="7"/>
  <c r="U46" i="7" s="1"/>
  <c r="V46" i="7" s="1"/>
  <c r="S45" i="7"/>
  <c r="U45" i="7" s="1"/>
  <c r="V45" i="7" s="1"/>
  <c r="S44" i="7"/>
  <c r="U44" i="7" s="1"/>
  <c r="V44" i="7" s="1"/>
  <c r="S41" i="7"/>
  <c r="U41" i="7" s="1"/>
  <c r="V41" i="7" s="1"/>
  <c r="S40" i="7"/>
  <c r="U40" i="7" s="1"/>
  <c r="V40" i="7" s="1"/>
  <c r="S38" i="7"/>
  <c r="U38" i="7" s="1"/>
  <c r="V38" i="7" s="1"/>
  <c r="S35" i="7"/>
  <c r="U35" i="7" s="1"/>
  <c r="V35" i="7" s="1"/>
  <c r="S34" i="7"/>
  <c r="U34" i="7" s="1"/>
  <c r="V34" i="7" s="1"/>
  <c r="S30" i="7"/>
  <c r="U30" i="7" s="1"/>
  <c r="V30" i="7" s="1"/>
  <c r="S29" i="7"/>
  <c r="U29" i="7" s="1"/>
  <c r="V29" i="7" s="1"/>
  <c r="S27" i="7"/>
  <c r="U27" i="7" s="1"/>
  <c r="V27" i="7" s="1"/>
  <c r="S18" i="7"/>
  <c r="U18" i="7" s="1"/>
  <c r="V18" i="7" s="1"/>
  <c r="S10" i="7"/>
  <c r="U10" i="7" s="1"/>
  <c r="V10" i="7" s="1"/>
  <c r="S9" i="7"/>
  <c r="U9" i="7" s="1"/>
  <c r="V9" i="7" s="1"/>
  <c r="L57" i="13" l="1"/>
  <c r="L109" i="13" s="1"/>
  <c r="S235" i="7"/>
  <c r="L46" i="13" s="1"/>
  <c r="S26" i="7"/>
  <c r="L44" i="13" s="1"/>
  <c r="S13" i="7"/>
  <c r="S90" i="8"/>
  <c r="S251" i="8" s="1"/>
  <c r="S89" i="7"/>
  <c r="S74" i="7"/>
  <c r="R236" i="4"/>
  <c r="S236" i="4"/>
  <c r="L38" i="13" s="1"/>
  <c r="S240" i="4"/>
  <c r="U240" i="4" s="1"/>
  <c r="V240" i="4" s="1"/>
  <c r="S238" i="4"/>
  <c r="U238" i="4" s="1"/>
  <c r="V238" i="4" s="1"/>
  <c r="S85" i="4"/>
  <c r="U85" i="4" s="1"/>
  <c r="V85" i="4" s="1"/>
  <c r="S83" i="4"/>
  <c r="U83" i="4" s="1"/>
  <c r="V83" i="4" s="1"/>
  <c r="S81" i="4"/>
  <c r="U81" i="4" s="1"/>
  <c r="V81" i="4" s="1"/>
  <c r="S80" i="4"/>
  <c r="U80" i="4" s="1"/>
  <c r="V80" i="4" s="1"/>
  <c r="S79" i="4"/>
  <c r="U79" i="4" s="1"/>
  <c r="V79" i="4" s="1"/>
  <c r="S78" i="4"/>
  <c r="U78" i="4" s="1"/>
  <c r="V78" i="4" s="1"/>
  <c r="S77" i="4"/>
  <c r="U77" i="4" s="1"/>
  <c r="V77" i="4" s="1"/>
  <c r="S76" i="4"/>
  <c r="U76" i="4" s="1"/>
  <c r="V76" i="4" s="1"/>
  <c r="S75" i="4"/>
  <c r="U75" i="4" s="1"/>
  <c r="V75" i="4" s="1"/>
  <c r="S73" i="4"/>
  <c r="U73" i="4" s="1"/>
  <c r="V73" i="4" s="1"/>
  <c r="S91" i="7" l="1"/>
  <c r="S241" i="7" s="1"/>
  <c r="L45" i="13"/>
  <c r="L49" i="13" s="1"/>
  <c r="L108" i="13" s="1"/>
  <c r="U236" i="4"/>
  <c r="V236" i="4" s="1"/>
  <c r="S67" i="4"/>
  <c r="U67" i="4" s="1"/>
  <c r="V67" i="4" s="1"/>
  <c r="S65" i="4"/>
  <c r="U65" i="4" s="1"/>
  <c r="V65" i="4" s="1"/>
  <c r="S60" i="4"/>
  <c r="U60" i="4" s="1"/>
  <c r="V60" i="4" s="1"/>
  <c r="S51" i="4"/>
  <c r="U51" i="4" s="1"/>
  <c r="V51" i="4" s="1"/>
  <c r="S49" i="4"/>
  <c r="U49" i="4" s="1"/>
  <c r="V49" i="4" s="1"/>
  <c r="S48" i="4"/>
  <c r="U48" i="4" s="1"/>
  <c r="V48" i="4" s="1"/>
  <c r="S47" i="4"/>
  <c r="U47" i="4" s="1"/>
  <c r="V47" i="4" s="1"/>
  <c r="S46" i="4"/>
  <c r="U46" i="4" s="1"/>
  <c r="V46" i="4" s="1"/>
  <c r="S45" i="4"/>
  <c r="U45" i="4" s="1"/>
  <c r="V45" i="4" s="1"/>
  <c r="S44" i="4"/>
  <c r="U44" i="4" s="1"/>
  <c r="V44" i="4" s="1"/>
  <c r="S41" i="4"/>
  <c r="U41" i="4" s="1"/>
  <c r="V41" i="4" s="1"/>
  <c r="S40" i="4"/>
  <c r="U40" i="4" s="1"/>
  <c r="V40" i="4" s="1"/>
  <c r="S39" i="4"/>
  <c r="U39" i="4" s="1"/>
  <c r="V39" i="4" s="1"/>
  <c r="S36" i="4"/>
  <c r="U36" i="4" s="1"/>
  <c r="V36" i="4" s="1"/>
  <c r="S35" i="4"/>
  <c r="U35" i="4" s="1"/>
  <c r="V35" i="4" s="1"/>
  <c r="S33" i="4"/>
  <c r="U33" i="4" s="1"/>
  <c r="V33" i="4" s="1"/>
  <c r="S32" i="4"/>
  <c r="U32" i="4" s="1"/>
  <c r="V32" i="4" s="1"/>
  <c r="S27" i="4"/>
  <c r="U27" i="4" s="1"/>
  <c r="V27" i="4" s="1"/>
  <c r="S18" i="4"/>
  <c r="U18" i="4" s="1"/>
  <c r="V18" i="4" s="1"/>
  <c r="S87" i="4"/>
  <c r="L37" i="13" s="1"/>
  <c r="S9" i="4"/>
  <c r="U9" i="4" s="1"/>
  <c r="V9" i="4" s="1"/>
  <c r="S72" i="6"/>
  <c r="U72" i="6" s="1"/>
  <c r="V72" i="6" s="1"/>
  <c r="S234" i="6"/>
  <c r="U234" i="6" s="1"/>
  <c r="V234" i="6" s="1"/>
  <c r="S232" i="6"/>
  <c r="U232" i="6" s="1"/>
  <c r="V232" i="6" s="1"/>
  <c r="S90" i="6"/>
  <c r="U90" i="6" s="1"/>
  <c r="V90" i="6" s="1"/>
  <c r="S83" i="6"/>
  <c r="U83" i="6" s="1"/>
  <c r="V83" i="6" s="1"/>
  <c r="S81" i="6"/>
  <c r="U81" i="6" s="1"/>
  <c r="V81" i="6" s="1"/>
  <c r="S79" i="6"/>
  <c r="U79" i="6" s="1"/>
  <c r="V79" i="6" s="1"/>
  <c r="S78" i="6"/>
  <c r="U78" i="6" s="1"/>
  <c r="V78" i="6" s="1"/>
  <c r="S77" i="6"/>
  <c r="U77" i="6" s="1"/>
  <c r="V77" i="6" s="1"/>
  <c r="S76" i="6"/>
  <c r="U76" i="6" s="1"/>
  <c r="V76" i="6" s="1"/>
  <c r="S75" i="6"/>
  <c r="U75" i="6" s="1"/>
  <c r="V75" i="6" s="1"/>
  <c r="S74" i="6"/>
  <c r="U74" i="6" s="1"/>
  <c r="V74" i="6" s="1"/>
  <c r="S73" i="6"/>
  <c r="U73" i="6" s="1"/>
  <c r="V73" i="6" s="1"/>
  <c r="S71" i="6"/>
  <c r="U71" i="6" s="1"/>
  <c r="V71" i="6" s="1"/>
  <c r="S66" i="6"/>
  <c r="U66" i="6" s="1"/>
  <c r="V66" i="6" s="1"/>
  <c r="S60" i="6"/>
  <c r="U60" i="6" s="1"/>
  <c r="V60" i="6" s="1"/>
  <c r="S58" i="6"/>
  <c r="U58" i="6" s="1"/>
  <c r="V58" i="6" s="1"/>
  <c r="S52" i="6"/>
  <c r="U52" i="6" s="1"/>
  <c r="V52" i="6" s="1"/>
  <c r="S50" i="6"/>
  <c r="U50" i="6" s="1"/>
  <c r="V50" i="6" s="1"/>
  <c r="S49" i="6"/>
  <c r="U49" i="6" s="1"/>
  <c r="V49" i="6" s="1"/>
  <c r="S48" i="6"/>
  <c r="U48" i="6" s="1"/>
  <c r="V48" i="6" s="1"/>
  <c r="S47" i="6"/>
  <c r="U47" i="6" s="1"/>
  <c r="V47" i="6" s="1"/>
  <c r="S46" i="6"/>
  <c r="U46" i="6" s="1"/>
  <c r="V46" i="6" s="1"/>
  <c r="S45" i="6"/>
  <c r="U45" i="6" s="1"/>
  <c r="V45" i="6" s="1"/>
  <c r="S42" i="6"/>
  <c r="U42" i="6" s="1"/>
  <c r="V42" i="6" s="1"/>
  <c r="S41" i="6"/>
  <c r="U41" i="6" s="1"/>
  <c r="V41" i="6" s="1"/>
  <c r="S39" i="6"/>
  <c r="U39" i="6" s="1"/>
  <c r="V39" i="6" s="1"/>
  <c r="S36" i="6"/>
  <c r="U36" i="6" s="1"/>
  <c r="V36" i="6" s="1"/>
  <c r="S35" i="6"/>
  <c r="U35" i="6" s="1"/>
  <c r="V35" i="6" s="1"/>
  <c r="S28" i="6"/>
  <c r="U28" i="6" s="1"/>
  <c r="V28" i="6" s="1"/>
  <c r="S30" i="6"/>
  <c r="U30" i="6" s="1"/>
  <c r="V30" i="6" s="1"/>
  <c r="S27" i="6"/>
  <c r="U27" i="6" s="1"/>
  <c r="V27" i="6" s="1"/>
  <c r="S18" i="6"/>
  <c r="U18" i="6" s="1"/>
  <c r="V18" i="6" s="1"/>
  <c r="S9" i="6"/>
  <c r="S72" i="5"/>
  <c r="U72" i="5" s="1"/>
  <c r="V72" i="5" s="1"/>
  <c r="S39" i="5"/>
  <c r="U39" i="5" s="1"/>
  <c r="V39" i="5" s="1"/>
  <c r="S38" i="5"/>
  <c r="U38" i="5" s="1"/>
  <c r="V38" i="5" s="1"/>
  <c r="S13" i="4" l="1"/>
  <c r="S13" i="6"/>
  <c r="U9" i="6"/>
  <c r="V9" i="6" s="1"/>
  <c r="S26" i="6"/>
  <c r="L20" i="13" s="1"/>
  <c r="S230" i="6"/>
  <c r="L22" i="13" s="1"/>
  <c r="S26" i="4"/>
  <c r="L36" i="13" s="1"/>
  <c r="L41" i="13" s="1"/>
  <c r="L107" i="13" s="1"/>
  <c r="S72" i="4"/>
  <c r="S85" i="6"/>
  <c r="L21" i="13" s="1"/>
  <c r="S70" i="6"/>
  <c r="S83" i="5"/>
  <c r="U83" i="5" s="1"/>
  <c r="V83" i="5" s="1"/>
  <c r="S81" i="5"/>
  <c r="U81" i="5" s="1"/>
  <c r="V81" i="5" s="1"/>
  <c r="S79" i="5"/>
  <c r="U79" i="5" s="1"/>
  <c r="V79" i="5" s="1"/>
  <c r="S78" i="5"/>
  <c r="U78" i="5" s="1"/>
  <c r="V78" i="5" s="1"/>
  <c r="S77" i="5"/>
  <c r="U77" i="5" s="1"/>
  <c r="V77" i="5" s="1"/>
  <c r="S76" i="5"/>
  <c r="U76" i="5" s="1"/>
  <c r="V76" i="5" s="1"/>
  <c r="S75" i="5"/>
  <c r="U75" i="5" s="1"/>
  <c r="V75" i="5" s="1"/>
  <c r="S74" i="5"/>
  <c r="U74" i="5" s="1"/>
  <c r="V74" i="5" s="1"/>
  <c r="S73" i="5"/>
  <c r="U73" i="5" s="1"/>
  <c r="V73" i="5" s="1"/>
  <c r="S71" i="5"/>
  <c r="U71" i="5" s="1"/>
  <c r="V71" i="5" s="1"/>
  <c r="S36" i="5"/>
  <c r="U36" i="5" s="1"/>
  <c r="V36" i="5" s="1"/>
  <c r="S62" i="5"/>
  <c r="U62" i="5" s="1"/>
  <c r="V62" i="5" s="1"/>
  <c r="S56" i="5"/>
  <c r="U56" i="5" s="1"/>
  <c r="V56" i="5" s="1"/>
  <c r="S54" i="5"/>
  <c r="U54" i="5" s="1"/>
  <c r="V54" i="5" s="1"/>
  <c r="S48" i="5"/>
  <c r="U48" i="5" s="1"/>
  <c r="V48" i="5" s="1"/>
  <c r="S46" i="5"/>
  <c r="U46" i="5" s="1"/>
  <c r="V46" i="5" s="1"/>
  <c r="S45" i="5"/>
  <c r="U45" i="5" s="1"/>
  <c r="V45" i="5" s="1"/>
  <c r="S44" i="5"/>
  <c r="U44" i="5" s="1"/>
  <c r="V44" i="5" s="1"/>
  <c r="S43" i="5"/>
  <c r="U43" i="5" s="1"/>
  <c r="V43" i="5" s="1"/>
  <c r="S42" i="5"/>
  <c r="U42" i="5" s="1"/>
  <c r="V42" i="5" s="1"/>
  <c r="S41" i="5"/>
  <c r="U41" i="5" s="1"/>
  <c r="V41" i="5" s="1"/>
  <c r="S33" i="5"/>
  <c r="U33" i="5" s="1"/>
  <c r="V33" i="5" s="1"/>
  <c r="S32" i="5"/>
  <c r="U32" i="5" s="1"/>
  <c r="V32" i="5" s="1"/>
  <c r="S30" i="5"/>
  <c r="U30" i="5" s="1"/>
  <c r="V30" i="5" s="1"/>
  <c r="S29" i="5"/>
  <c r="U29" i="5" s="1"/>
  <c r="V29" i="5" s="1"/>
  <c r="S27" i="5"/>
  <c r="U27" i="5" s="1"/>
  <c r="V27" i="5" s="1"/>
  <c r="S18" i="5"/>
  <c r="U18" i="5" s="1"/>
  <c r="V18" i="5" s="1"/>
  <c r="S9" i="5"/>
  <c r="U9" i="5" s="1"/>
  <c r="V9" i="5" s="1"/>
  <c r="S221" i="5"/>
  <c r="U221" i="5" s="1"/>
  <c r="V221" i="5" s="1"/>
  <c r="S219" i="5"/>
  <c r="U219" i="5" s="1"/>
  <c r="V219" i="5" s="1"/>
  <c r="S217" i="5"/>
  <c r="L14" i="13" s="1"/>
  <c r="S71" i="3"/>
  <c r="U71" i="3" s="1"/>
  <c r="V71" i="3" s="1"/>
  <c r="S89" i="4" l="1"/>
  <c r="S242" i="4" s="1"/>
  <c r="L25" i="13"/>
  <c r="S26" i="5"/>
  <c r="L12" i="13" s="1"/>
  <c r="S13" i="5"/>
  <c r="S87" i="6"/>
  <c r="S236" i="6" s="1"/>
  <c r="S85" i="5"/>
  <c r="L13" i="13" s="1"/>
  <c r="S70" i="5"/>
  <c r="L17" i="13" l="1"/>
  <c r="S87" i="5"/>
  <c r="S223" i="5" s="1"/>
  <c r="S88" i="3" l="1"/>
  <c r="U88" i="3" s="1"/>
  <c r="V88" i="3" s="1"/>
  <c r="S82" i="3"/>
  <c r="U82" i="3" s="1"/>
  <c r="V82" i="3" s="1"/>
  <c r="S80" i="3"/>
  <c r="U80" i="3" s="1"/>
  <c r="V80" i="3" s="1"/>
  <c r="S78" i="3"/>
  <c r="U78" i="3" s="1"/>
  <c r="V78" i="3" s="1"/>
  <c r="S77" i="3"/>
  <c r="U77" i="3" s="1"/>
  <c r="V77" i="3" s="1"/>
  <c r="S76" i="3"/>
  <c r="U76" i="3" s="1"/>
  <c r="V76" i="3" s="1"/>
  <c r="S75" i="3"/>
  <c r="U75" i="3" s="1"/>
  <c r="V75" i="3" s="1"/>
  <c r="S74" i="3"/>
  <c r="U74" i="3" s="1"/>
  <c r="V74" i="3" s="1"/>
  <c r="S73" i="3"/>
  <c r="U73" i="3" s="1"/>
  <c r="V73" i="3" s="1"/>
  <c r="S72" i="3"/>
  <c r="U72" i="3" s="1"/>
  <c r="V72" i="3" s="1"/>
  <c r="S70" i="3"/>
  <c r="U70" i="3" s="1"/>
  <c r="V70" i="3" s="1"/>
  <c r="S64" i="3"/>
  <c r="U64" i="3" s="1"/>
  <c r="V64" i="3" s="1"/>
  <c r="S57" i="3"/>
  <c r="U57" i="3" s="1"/>
  <c r="V57" i="3" s="1"/>
  <c r="S55" i="3"/>
  <c r="U55" i="3" s="1"/>
  <c r="V55" i="3" s="1"/>
  <c r="S49" i="3"/>
  <c r="U49" i="3" s="1"/>
  <c r="V49" i="3" s="1"/>
  <c r="S47" i="3"/>
  <c r="U47" i="3" s="1"/>
  <c r="V47" i="3" s="1"/>
  <c r="S46" i="3"/>
  <c r="U46" i="3" s="1"/>
  <c r="V46" i="3" s="1"/>
  <c r="S45" i="3"/>
  <c r="U45" i="3" s="1"/>
  <c r="V45" i="3" s="1"/>
  <c r="S44" i="3"/>
  <c r="U44" i="3" s="1"/>
  <c r="V44" i="3" s="1"/>
  <c r="S43" i="3"/>
  <c r="U43" i="3" s="1"/>
  <c r="V43" i="3" s="1"/>
  <c r="S42" i="3"/>
  <c r="U42" i="3" s="1"/>
  <c r="V42" i="3" s="1"/>
  <c r="S39" i="3"/>
  <c r="U39" i="3" s="1"/>
  <c r="V39" i="3" s="1"/>
  <c r="S38" i="3"/>
  <c r="U38" i="3" s="1"/>
  <c r="V38" i="3" s="1"/>
  <c r="S36" i="3"/>
  <c r="U36" i="3" s="1"/>
  <c r="V36" i="3" s="1"/>
  <c r="S33" i="3"/>
  <c r="U33" i="3" s="1"/>
  <c r="V33" i="3" s="1"/>
  <c r="S32" i="3"/>
  <c r="U32" i="3" s="1"/>
  <c r="V32" i="3" s="1"/>
  <c r="S30" i="3"/>
  <c r="U30" i="3" s="1"/>
  <c r="V30" i="3" s="1"/>
  <c r="S29" i="3"/>
  <c r="U29" i="3" s="1"/>
  <c r="V29" i="3" s="1"/>
  <c r="S27" i="3"/>
  <c r="U27" i="3" s="1"/>
  <c r="V27" i="3" s="1"/>
  <c r="S18" i="3"/>
  <c r="U18" i="3" l="1"/>
  <c r="V18" i="3" s="1"/>
  <c r="S224" i="3"/>
  <c r="U224" i="3" s="1"/>
  <c r="V224" i="3" s="1"/>
  <c r="S222" i="3"/>
  <c r="U222" i="3" s="1"/>
  <c r="V222" i="3" s="1"/>
  <c r="S220" i="3"/>
  <c r="L6" i="13" s="1"/>
  <c r="L30" i="13" s="1"/>
  <c r="L95" i="13" s="1"/>
  <c r="U26" i="3" l="1"/>
  <c r="S84" i="3"/>
  <c r="L5" i="13" s="1"/>
  <c r="L29" i="13" s="1"/>
  <c r="L94" i="13" s="1"/>
  <c r="S69" i="3"/>
  <c r="S26" i="3" l="1"/>
  <c r="V26" i="3" s="1"/>
  <c r="S9" i="3"/>
  <c r="U9" i="3" s="1"/>
  <c r="V9" i="3" s="1"/>
  <c r="Q9" i="8"/>
  <c r="R9" i="8"/>
  <c r="R13" i="8" s="1"/>
  <c r="Q10" i="8"/>
  <c r="Q18" i="8"/>
  <c r="R18" i="8"/>
  <c r="Q22" i="8"/>
  <c r="Q23" i="8"/>
  <c r="Q25" i="8"/>
  <c r="Q27" i="8"/>
  <c r="R27" i="8"/>
  <c r="R29" i="8"/>
  <c r="Q32" i="8"/>
  <c r="R32" i="8"/>
  <c r="Q33" i="8"/>
  <c r="Q35" i="8"/>
  <c r="R35" i="8"/>
  <c r="R36" i="8"/>
  <c r="Q39" i="8"/>
  <c r="R39" i="8"/>
  <c r="Q41" i="8"/>
  <c r="R41" i="8"/>
  <c r="Q42" i="8"/>
  <c r="R42" i="8"/>
  <c r="Q45" i="8"/>
  <c r="R45" i="8"/>
  <c r="Q46" i="8"/>
  <c r="R46" i="8"/>
  <c r="Q47" i="8"/>
  <c r="R47" i="8"/>
  <c r="Q48" i="8"/>
  <c r="R48" i="8"/>
  <c r="Q50" i="8"/>
  <c r="R50" i="8"/>
  <c r="Q53" i="8"/>
  <c r="R53" i="8"/>
  <c r="Q57" i="8"/>
  <c r="Q59" i="8"/>
  <c r="R59" i="8"/>
  <c r="Q61" i="8"/>
  <c r="Q63" i="8"/>
  <c r="R63" i="8"/>
  <c r="Q67" i="8"/>
  <c r="Q69" i="8"/>
  <c r="R69" i="8"/>
  <c r="Q74" i="8"/>
  <c r="R74" i="8"/>
  <c r="Q75" i="8"/>
  <c r="R75" i="8"/>
  <c r="Q76" i="8"/>
  <c r="R76" i="8"/>
  <c r="Q77" i="8"/>
  <c r="R77" i="8"/>
  <c r="Q78" i="8"/>
  <c r="R78" i="8"/>
  <c r="Q79" i="8"/>
  <c r="R79" i="8"/>
  <c r="Q80" i="8"/>
  <c r="R80" i="8"/>
  <c r="Q81" i="8"/>
  <c r="R81" i="8"/>
  <c r="Q82" i="8"/>
  <c r="R82" i="8"/>
  <c r="Q84" i="8"/>
  <c r="R84" i="8"/>
  <c r="Q86" i="8"/>
  <c r="R86" i="8"/>
  <c r="Q13" i="8" l="1"/>
  <c r="Q26" i="8"/>
  <c r="R73" i="8"/>
  <c r="Q73" i="8"/>
  <c r="Q88" i="8"/>
  <c r="R88" i="8"/>
  <c r="R26" i="8"/>
  <c r="S86" i="3"/>
  <c r="S226" i="3" s="1"/>
  <c r="L4" i="13"/>
  <c r="S13" i="3"/>
  <c r="R68" i="11"/>
  <c r="R90" i="8" l="1"/>
  <c r="Q90" i="8"/>
  <c r="L28" i="13"/>
  <c r="L9" i="13"/>
  <c r="R40" i="11"/>
  <c r="R39" i="11"/>
  <c r="L33" i="13" l="1"/>
  <c r="L106" i="13" s="1"/>
  <c r="L93" i="13"/>
  <c r="R76" i="11"/>
  <c r="R75" i="11"/>
  <c r="R74" i="11"/>
  <c r="R73" i="11"/>
  <c r="R72" i="11"/>
  <c r="R71" i="11"/>
  <c r="R70" i="11"/>
  <c r="R69" i="11"/>
  <c r="R67" i="11"/>
  <c r="R77" i="11"/>
  <c r="R55" i="11"/>
  <c r="R49" i="11"/>
  <c r="R47" i="11"/>
  <c r="R42" i="11"/>
  <c r="R37" i="11"/>
  <c r="R33" i="11"/>
  <c r="R27" i="11"/>
  <c r="R18" i="11"/>
  <c r="R196" i="11"/>
  <c r="L96" i="13" l="1"/>
  <c r="L99" i="13" s="1"/>
  <c r="L113" i="13"/>
  <c r="L115" i="13" s="1"/>
  <c r="L118" i="13" s="1"/>
  <c r="R26" i="11"/>
  <c r="R78" i="11"/>
  <c r="R66" i="11"/>
  <c r="R84" i="10"/>
  <c r="R81" i="10"/>
  <c r="L119" i="13" l="1"/>
  <c r="L121" i="13"/>
  <c r="L123" i="13"/>
  <c r="L120" i="13"/>
  <c r="L125" i="13"/>
  <c r="L122" i="13"/>
  <c r="L124" i="13"/>
  <c r="L101" i="13"/>
  <c r="L100" i="13"/>
  <c r="R80" i="11"/>
  <c r="R202" i="11" s="1"/>
  <c r="U26" i="10"/>
  <c r="V26" i="10" s="1"/>
  <c r="U26" i="12"/>
  <c r="V26" i="12" s="1"/>
  <c r="U26" i="9"/>
  <c r="V26" i="9" s="1"/>
  <c r="L102" i="13" l="1"/>
  <c r="L126" i="13"/>
  <c r="R26" i="10"/>
  <c r="R64" i="10"/>
  <c r="R78" i="10"/>
  <c r="R205" i="10" l="1"/>
  <c r="R80" i="10"/>
  <c r="R195" i="12"/>
  <c r="R191" i="12"/>
  <c r="R236" i="9"/>
  <c r="R232" i="9"/>
  <c r="R79" i="9"/>
  <c r="R66" i="9"/>
  <c r="R26" i="9"/>
  <c r="R249" i="8"/>
  <c r="R247" i="8"/>
  <c r="R245" i="8"/>
  <c r="R76" i="7"/>
  <c r="R239" i="7"/>
  <c r="R237" i="7"/>
  <c r="R235" i="7"/>
  <c r="R87" i="7"/>
  <c r="R85" i="7"/>
  <c r="R83" i="7"/>
  <c r="R82" i="7"/>
  <c r="R81" i="7"/>
  <c r="R80" i="7"/>
  <c r="R79" i="7"/>
  <c r="R78" i="7"/>
  <c r="R77" i="7"/>
  <c r="R75" i="7"/>
  <c r="R68" i="7"/>
  <c r="R62" i="7"/>
  <c r="R57" i="7"/>
  <c r="R51" i="7"/>
  <c r="R49" i="7"/>
  <c r="R47" i="7"/>
  <c r="R46" i="7"/>
  <c r="R45" i="7"/>
  <c r="R44" i="7"/>
  <c r="R41" i="7"/>
  <c r="R40" i="7"/>
  <c r="R38" i="7"/>
  <c r="R35" i="7"/>
  <c r="R34" i="7"/>
  <c r="R30" i="7"/>
  <c r="R29" i="7"/>
  <c r="R27" i="7"/>
  <c r="R18" i="7"/>
  <c r="R81" i="9" l="1"/>
  <c r="R26" i="7"/>
  <c r="R197" i="12"/>
  <c r="R211" i="10"/>
  <c r="R89" i="7"/>
  <c r="R74" i="7"/>
  <c r="R240" i="4"/>
  <c r="R238" i="4"/>
  <c r="R74" i="4"/>
  <c r="R85" i="4"/>
  <c r="R83" i="4"/>
  <c r="R81" i="4"/>
  <c r="R80" i="4"/>
  <c r="R79" i="4"/>
  <c r="R78" i="4"/>
  <c r="R77" i="4"/>
  <c r="R76" i="4"/>
  <c r="R75" i="4"/>
  <c r="R73" i="4"/>
  <c r="R67" i="4"/>
  <c r="R65" i="4"/>
  <c r="R60" i="4"/>
  <c r="R51" i="4"/>
  <c r="R49" i="4"/>
  <c r="R47" i="4"/>
  <c r="R46" i="4"/>
  <c r="R45" i="4"/>
  <c r="R44" i="4"/>
  <c r="R41" i="4"/>
  <c r="R40" i="4"/>
  <c r="R39" i="4"/>
  <c r="R36" i="4"/>
  <c r="R35" i="4"/>
  <c r="R33" i="4"/>
  <c r="R32" i="4"/>
  <c r="R27" i="4"/>
  <c r="R18" i="4"/>
  <c r="R42" i="6"/>
  <c r="R72" i="6"/>
  <c r="R83" i="6"/>
  <c r="R81" i="6"/>
  <c r="R79" i="6"/>
  <c r="R78" i="6"/>
  <c r="R77" i="6"/>
  <c r="R76" i="6"/>
  <c r="R75" i="6"/>
  <c r="R74" i="6"/>
  <c r="R73" i="6"/>
  <c r="R71" i="6"/>
  <c r="R66" i="6"/>
  <c r="R60" i="6"/>
  <c r="R58" i="6"/>
  <c r="R52" i="6"/>
  <c r="R50" i="6"/>
  <c r="R48" i="6"/>
  <c r="R47" i="6"/>
  <c r="R46" i="6"/>
  <c r="R45" i="6"/>
  <c r="R41" i="6"/>
  <c r="R39" i="6"/>
  <c r="R36" i="6"/>
  <c r="R35" i="6"/>
  <c r="R30" i="6"/>
  <c r="R27" i="6"/>
  <c r="R18" i="6"/>
  <c r="R234" i="6"/>
  <c r="R232" i="6"/>
  <c r="R230" i="6"/>
  <c r="R39" i="5"/>
  <c r="R54" i="5"/>
  <c r="R221" i="5"/>
  <c r="R219" i="5"/>
  <c r="R217" i="5"/>
  <c r="R83" i="5"/>
  <c r="R81" i="5"/>
  <c r="R79" i="5"/>
  <c r="R78" i="5"/>
  <c r="R77" i="5"/>
  <c r="R76" i="5"/>
  <c r="R75" i="5"/>
  <c r="R74" i="5"/>
  <c r="R73" i="5"/>
  <c r="R72" i="5"/>
  <c r="R71" i="5"/>
  <c r="R62" i="5"/>
  <c r="R48" i="5"/>
  <c r="R46" i="5"/>
  <c r="R44" i="5"/>
  <c r="R43" i="5"/>
  <c r="R42" i="5"/>
  <c r="R41" i="5"/>
  <c r="R38" i="5"/>
  <c r="R36" i="5"/>
  <c r="R32" i="5"/>
  <c r="R30" i="5"/>
  <c r="R29" i="5"/>
  <c r="R27" i="5"/>
  <c r="R18" i="5"/>
  <c r="R71" i="3"/>
  <c r="R26" i="5" l="1"/>
  <c r="R26" i="6"/>
  <c r="R26" i="4"/>
  <c r="R251" i="8"/>
  <c r="R91" i="7"/>
  <c r="R241" i="7" s="1"/>
  <c r="R87" i="4"/>
  <c r="R72" i="4"/>
  <c r="R85" i="6"/>
  <c r="R70" i="6"/>
  <c r="R85" i="5"/>
  <c r="R70" i="5"/>
  <c r="R39" i="3"/>
  <c r="R38" i="3"/>
  <c r="R89" i="4" l="1"/>
  <c r="R242" i="4" s="1"/>
  <c r="R87" i="6"/>
  <c r="R236" i="6" s="1"/>
  <c r="R87" i="5"/>
  <c r="R223" i="5" s="1"/>
  <c r="R82" i="3"/>
  <c r="R80" i="3"/>
  <c r="R78" i="3"/>
  <c r="R77" i="3"/>
  <c r="R76" i="3"/>
  <c r="R75" i="3"/>
  <c r="R74" i="3"/>
  <c r="R73" i="3"/>
  <c r="R72" i="3"/>
  <c r="R70" i="3"/>
  <c r="R64" i="3"/>
  <c r="R57" i="3"/>
  <c r="R55" i="3"/>
  <c r="R49" i="3"/>
  <c r="R47" i="3"/>
  <c r="R42" i="3"/>
  <c r="R36" i="3"/>
  <c r="R33" i="3"/>
  <c r="R32" i="3"/>
  <c r="R30" i="3"/>
  <c r="R29" i="3"/>
  <c r="R27" i="3"/>
  <c r="R224" i="3"/>
  <c r="R222" i="3"/>
  <c r="R220" i="3"/>
  <c r="R18" i="3"/>
  <c r="R84" i="3" l="1"/>
  <c r="R69" i="3"/>
  <c r="R26" i="3"/>
  <c r="R86" i="3" l="1"/>
  <c r="R226" i="3" s="1"/>
  <c r="R9" i="11" l="1"/>
  <c r="R13" i="10"/>
  <c r="R13" i="12"/>
  <c r="R9" i="9"/>
  <c r="R9" i="7"/>
  <c r="R9" i="4"/>
  <c r="R9" i="6"/>
  <c r="R9" i="5"/>
  <c r="R9" i="3"/>
  <c r="R13" i="5" l="1"/>
  <c r="R13" i="6"/>
  <c r="R234" i="9"/>
  <c r="R13" i="9"/>
  <c r="R13" i="4"/>
  <c r="R13" i="3"/>
  <c r="R13" i="7"/>
  <c r="R13" i="11"/>
  <c r="Q92" i="4"/>
  <c r="Q236" i="4" s="1"/>
  <c r="R238" i="9" l="1"/>
  <c r="Q89" i="3"/>
  <c r="U220" i="3" l="1"/>
  <c r="V220" i="3" s="1"/>
  <c r="Q76" i="7"/>
  <c r="Q27" i="7"/>
  <c r="Q71" i="3"/>
  <c r="Q27" i="3"/>
  <c r="Q27" i="11" l="1"/>
  <c r="Q40" i="11"/>
  <c r="Q39" i="11"/>
  <c r="Q77" i="11"/>
  <c r="Q76" i="11"/>
  <c r="Q75" i="11"/>
  <c r="Q74" i="11"/>
  <c r="Q73" i="11"/>
  <c r="Q72" i="11"/>
  <c r="Q71" i="11"/>
  <c r="Q70" i="11"/>
  <c r="Q69" i="11"/>
  <c r="Q68" i="11"/>
  <c r="Q67" i="11"/>
  <c r="Q63" i="11"/>
  <c r="Q61" i="11"/>
  <c r="Q57" i="11"/>
  <c r="Q56" i="11"/>
  <c r="Q55" i="11"/>
  <c r="Q53" i="11"/>
  <c r="Q49" i="11"/>
  <c r="Q47" i="11"/>
  <c r="Q45" i="11"/>
  <c r="Q44" i="11"/>
  <c r="Q43" i="11"/>
  <c r="Q42" i="11"/>
  <c r="Q37" i="11"/>
  <c r="Q33" i="11"/>
  <c r="Q31" i="11"/>
  <c r="Q29" i="11"/>
  <c r="Q25" i="11"/>
  <c r="Q23" i="11"/>
  <c r="Q22" i="11"/>
  <c r="Q18" i="11"/>
  <c r="Q200" i="11"/>
  <c r="Q198" i="11"/>
  <c r="Q196" i="11"/>
  <c r="Q84" i="10"/>
  <c r="U26" i="11" l="1"/>
  <c r="V26" i="11" s="1"/>
  <c r="Q78" i="11"/>
  <c r="Q66" i="11"/>
  <c r="Q195" i="12"/>
  <c r="Q236" i="9" l="1"/>
  <c r="Q249" i="8"/>
  <c r="Q247" i="8"/>
  <c r="Q85" i="7" l="1"/>
  <c r="Q87" i="7"/>
  <c r="Q83" i="7"/>
  <c r="Q82" i="7"/>
  <c r="Q81" i="7"/>
  <c r="Q80" i="7"/>
  <c r="Q79" i="7"/>
  <c r="Q78" i="7"/>
  <c r="Q77" i="7"/>
  <c r="Q75" i="7"/>
  <c r="Q68" i="7"/>
  <c r="Q66" i="7"/>
  <c r="Q62" i="7"/>
  <c r="Q60" i="7"/>
  <c r="Q57" i="7"/>
  <c r="Q55" i="7"/>
  <c r="Q51" i="7"/>
  <c r="Q49" i="7"/>
  <c r="Q47" i="7"/>
  <c r="Q46" i="7"/>
  <c r="Q45" i="7"/>
  <c r="Q44" i="7"/>
  <c r="Q41" i="7"/>
  <c r="Q40" i="7"/>
  <c r="Q38" i="7"/>
  <c r="Q34" i="7"/>
  <c r="Q29" i="7"/>
  <c r="Q30" i="7"/>
  <c r="Q25" i="7"/>
  <c r="Q23" i="7"/>
  <c r="Q22" i="7"/>
  <c r="Q18" i="7"/>
  <c r="Q239" i="7"/>
  <c r="Q237" i="7"/>
  <c r="Q41" i="4"/>
  <c r="Q40" i="4"/>
  <c r="Q74" i="4"/>
  <c r="Q85" i="4"/>
  <c r="Q83" i="4"/>
  <c r="Q81" i="4"/>
  <c r="Q80" i="4"/>
  <c r="Q79" i="4"/>
  <c r="Q78" i="4"/>
  <c r="Q77" i="4"/>
  <c r="Q76" i="4"/>
  <c r="Q75" i="4"/>
  <c r="U26" i="8" l="1"/>
  <c r="V26" i="8" s="1"/>
  <c r="Q73" i="4"/>
  <c r="Q67" i="4"/>
  <c r="Q65" i="4"/>
  <c r="Q62" i="4"/>
  <c r="Q60" i="4"/>
  <c r="Q57" i="4"/>
  <c r="Q55" i="4"/>
  <c r="Q51" i="4"/>
  <c r="Q49" i="4"/>
  <c r="Q47" i="4"/>
  <c r="Q46" i="4"/>
  <c r="Q45" i="4"/>
  <c r="Q44" i="4"/>
  <c r="Q39" i="4"/>
  <c r="Q35" i="4"/>
  <c r="Q33" i="4"/>
  <c r="Q32" i="4"/>
  <c r="Q27" i="4"/>
  <c r="Q25" i="4"/>
  <c r="Q23" i="4"/>
  <c r="Q22" i="4"/>
  <c r="Q18" i="4"/>
  <c r="Q240" i="4"/>
  <c r="Q238" i="4"/>
  <c r="U26" i="4" l="1"/>
  <c r="V26" i="4" s="1"/>
  <c r="Q42" i="6"/>
  <c r="Q41" i="6"/>
  <c r="Q83" i="6"/>
  <c r="Q81" i="6"/>
  <c r="Q79" i="6"/>
  <c r="Q78" i="6"/>
  <c r="Q77" i="6"/>
  <c r="Q76" i="6"/>
  <c r="Q74" i="6"/>
  <c r="Q75" i="6"/>
  <c r="Q73" i="6"/>
  <c r="Q72" i="6"/>
  <c r="Q71" i="6"/>
  <c r="Q66" i="6"/>
  <c r="Q64" i="6"/>
  <c r="Q60" i="6"/>
  <c r="Q59" i="6"/>
  <c r="Q58" i="6"/>
  <c r="Q56" i="6"/>
  <c r="Q52" i="6"/>
  <c r="Q50" i="6"/>
  <c r="Q48" i="6"/>
  <c r="Q47" i="6"/>
  <c r="Q46" i="6"/>
  <c r="Q45" i="6"/>
  <c r="Q39" i="6"/>
  <c r="Q35" i="6"/>
  <c r="Q32" i="6"/>
  <c r="Q30" i="6"/>
  <c r="Q27" i="6"/>
  <c r="Q25" i="6"/>
  <c r="Q23" i="6"/>
  <c r="Q22" i="6"/>
  <c r="Q18" i="6"/>
  <c r="Q72" i="5"/>
  <c r="Q83" i="5"/>
  <c r="Q81" i="5"/>
  <c r="Q79" i="5"/>
  <c r="Q78" i="5"/>
  <c r="Q77" i="5"/>
  <c r="Q76" i="5"/>
  <c r="Q75" i="5"/>
  <c r="Q74" i="5"/>
  <c r="Q73" i="5"/>
  <c r="Q71" i="5"/>
  <c r="Q62" i="5"/>
  <c r="Q60" i="5"/>
  <c r="Q56" i="5"/>
  <c r="Q55" i="5"/>
  <c r="Q54" i="5"/>
  <c r="Q52" i="5"/>
  <c r="Q48" i="5"/>
  <c r="Q46" i="5"/>
  <c r="Q44" i="5"/>
  <c r="Q43" i="5"/>
  <c r="Q42" i="5"/>
  <c r="Q41" i="5"/>
  <c r="Q39" i="5"/>
  <c r="Q38" i="5"/>
  <c r="Q36" i="5"/>
  <c r="Q32" i="5"/>
  <c r="Q30" i="5"/>
  <c r="Q29" i="5"/>
  <c r="Q27" i="5"/>
  <c r="Q25" i="5"/>
  <c r="Q23" i="5"/>
  <c r="Q22" i="5"/>
  <c r="Q18" i="5"/>
  <c r="Q221" i="5"/>
  <c r="Q219" i="5"/>
  <c r="Q74" i="3"/>
  <c r="Q47" i="3"/>
  <c r="Q82" i="3" l="1"/>
  <c r="Q80" i="3"/>
  <c r="Q78" i="3"/>
  <c r="Q77" i="3"/>
  <c r="Q76" i="3"/>
  <c r="Q75" i="3"/>
  <c r="Q73" i="3"/>
  <c r="Q72" i="3"/>
  <c r="Q70" i="3"/>
  <c r="Q64" i="3"/>
  <c r="Q62" i="3"/>
  <c r="Q57" i="3"/>
  <c r="Q56" i="3"/>
  <c r="Q55" i="3"/>
  <c r="Q53" i="3"/>
  <c r="Q49" i="3"/>
  <c r="Q45" i="3"/>
  <c r="Q44" i="3"/>
  <c r="Q43" i="3"/>
  <c r="Q42" i="3"/>
  <c r="Q39" i="3"/>
  <c r="Q38" i="3"/>
  <c r="Q36" i="3"/>
  <c r="Q32" i="3"/>
  <c r="Q30" i="3"/>
  <c r="Q29" i="3"/>
  <c r="Q25" i="3"/>
  <c r="Q23" i="3"/>
  <c r="Q22" i="3"/>
  <c r="Q18" i="3"/>
  <c r="Q224" i="3"/>
  <c r="Q222" i="3"/>
  <c r="Q9" i="11" l="1"/>
  <c r="Q26" i="11"/>
  <c r="Q205" i="10"/>
  <c r="Q78" i="10"/>
  <c r="P78" i="10"/>
  <c r="O78" i="10"/>
  <c r="N78" i="10"/>
  <c r="M64" i="10"/>
  <c r="N64" i="10"/>
  <c r="O64" i="10"/>
  <c r="Q64" i="10"/>
  <c r="Q26" i="10"/>
  <c r="P26" i="10"/>
  <c r="O26" i="10"/>
  <c r="N26" i="10"/>
  <c r="Q13" i="10"/>
  <c r="Q191" i="12"/>
  <c r="Q78" i="12"/>
  <c r="Q64" i="12"/>
  <c r="Q26" i="12"/>
  <c r="Q13" i="12"/>
  <c r="Q11" i="9"/>
  <c r="Q232" i="9"/>
  <c r="Q79" i="9"/>
  <c r="Q66" i="9"/>
  <c r="Q26" i="9"/>
  <c r="Q245" i="8"/>
  <c r="Q235" i="7"/>
  <c r="Q89" i="7"/>
  <c r="Q74" i="7"/>
  <c r="Q26" i="7"/>
  <c r="Q9" i="7"/>
  <c r="Q87" i="4"/>
  <c r="Q72" i="4"/>
  <c r="Q26" i="4"/>
  <c r="Q9" i="4"/>
  <c r="Q230" i="6"/>
  <c r="Q85" i="6"/>
  <c r="Q70" i="6"/>
  <c r="Q26" i="6"/>
  <c r="Q12" i="6"/>
  <c r="Q11" i="6"/>
  <c r="Q10" i="6"/>
  <c r="Q9" i="6"/>
  <c r="Q217" i="5"/>
  <c r="Q85" i="5"/>
  <c r="Q70" i="5"/>
  <c r="Q26" i="5"/>
  <c r="Q9" i="5"/>
  <c r="Q26" i="3"/>
  <c r="Q69" i="3"/>
  <c r="Q84" i="3"/>
  <c r="Q220" i="3"/>
  <c r="Q9" i="3"/>
  <c r="Q13" i="9" l="1"/>
  <c r="Q13" i="5"/>
  <c r="Q13" i="3"/>
  <c r="Q80" i="11"/>
  <c r="Q202" i="11" s="1"/>
  <c r="Q13" i="11"/>
  <c r="N80" i="10"/>
  <c r="O80" i="10"/>
  <c r="Q80" i="10"/>
  <c r="Q211" i="10" s="1"/>
  <c r="Q80" i="12"/>
  <c r="Q197" i="12" s="1"/>
  <c r="Q234" i="9"/>
  <c r="Q13" i="7"/>
  <c r="Q13" i="4"/>
  <c r="Q234" i="6"/>
  <c r="Q13" i="6"/>
  <c r="Q232" i="6"/>
  <c r="Q81" i="9"/>
  <c r="Q251" i="8"/>
  <c r="Q91" i="7"/>
  <c r="Q241" i="7" s="1"/>
  <c r="Q89" i="4"/>
  <c r="Q242" i="4" s="1"/>
  <c r="Q87" i="6"/>
  <c r="Q87" i="5"/>
  <c r="Q223" i="5" s="1"/>
  <c r="Q86" i="3"/>
  <c r="Q226" i="3" s="1"/>
  <c r="Q238" i="9" l="1"/>
  <c r="Q236" i="6"/>
  <c r="P92" i="4"/>
  <c r="P236" i="4" s="1"/>
  <c r="P89" i="3"/>
  <c r="O198" i="11" l="1"/>
  <c r="P84" i="10" l="1"/>
  <c r="P68" i="11"/>
  <c r="P77" i="11"/>
  <c r="P76" i="11"/>
  <c r="P75" i="11"/>
  <c r="P74" i="11"/>
  <c r="P73" i="11"/>
  <c r="P72" i="11"/>
  <c r="P71" i="11"/>
  <c r="P70" i="11"/>
  <c r="P69" i="11"/>
  <c r="P67" i="11"/>
  <c r="P63" i="11"/>
  <c r="P57" i="11"/>
  <c r="P55" i="11"/>
  <c r="P54" i="11"/>
  <c r="P53" i="11"/>
  <c r="P49" i="11"/>
  <c r="P47" i="11"/>
  <c r="P45" i="11"/>
  <c r="P44" i="11"/>
  <c r="P43" i="11"/>
  <c r="P42" i="11"/>
  <c r="P40" i="11"/>
  <c r="P39" i="11"/>
  <c r="P37" i="11"/>
  <c r="P33" i="11"/>
  <c r="P31" i="11"/>
  <c r="P29" i="11"/>
  <c r="P27" i="11"/>
  <c r="P25" i="11"/>
  <c r="P23" i="11"/>
  <c r="P22" i="11"/>
  <c r="P18" i="11"/>
  <c r="P75" i="8"/>
  <c r="P86" i="8"/>
  <c r="P84" i="8"/>
  <c r="P82" i="8"/>
  <c r="P81" i="8"/>
  <c r="P80" i="8"/>
  <c r="P79" i="8"/>
  <c r="P78" i="8"/>
  <c r="P77" i="8"/>
  <c r="P76" i="8"/>
  <c r="P74" i="8"/>
  <c r="P69" i="8"/>
  <c r="P63" i="8"/>
  <c r="P59" i="8"/>
  <c r="P58" i="8"/>
  <c r="P57" i="8"/>
  <c r="P53" i="8"/>
  <c r="P50" i="8"/>
  <c r="P48" i="8"/>
  <c r="P47" i="8"/>
  <c r="P46" i="8"/>
  <c r="P45" i="8"/>
  <c r="P42" i="8"/>
  <c r="P41" i="8"/>
  <c r="P39" i="8"/>
  <c r="P35" i="8"/>
  <c r="P33" i="8"/>
  <c r="P32" i="8"/>
  <c r="P27" i="8"/>
  <c r="P25" i="8"/>
  <c r="P23" i="8"/>
  <c r="P22" i="8"/>
  <c r="P18" i="8"/>
  <c r="P76" i="7" l="1"/>
  <c r="P49" i="7"/>
  <c r="P87" i="7"/>
  <c r="P85" i="7"/>
  <c r="P83" i="7"/>
  <c r="P82" i="7"/>
  <c r="P81" i="7"/>
  <c r="P80" i="7"/>
  <c r="P79" i="7"/>
  <c r="P78" i="7"/>
  <c r="P77" i="7"/>
  <c r="P75" i="7"/>
  <c r="P73" i="7"/>
  <c r="P88" i="7"/>
  <c r="P68" i="7"/>
  <c r="P62" i="7"/>
  <c r="P57" i="7"/>
  <c r="P56" i="7"/>
  <c r="P55" i="7"/>
  <c r="P51" i="7"/>
  <c r="P47" i="7"/>
  <c r="P46" i="7"/>
  <c r="P45" i="7"/>
  <c r="P44" i="7"/>
  <c r="P41" i="7"/>
  <c r="P40" i="7"/>
  <c r="P38" i="7"/>
  <c r="P34" i="7"/>
  <c r="P30" i="7"/>
  <c r="P29" i="7"/>
  <c r="P27" i="7"/>
  <c r="P25" i="7"/>
  <c r="P23" i="7"/>
  <c r="P22" i="7"/>
  <c r="P18" i="7"/>
  <c r="P74" i="4"/>
  <c r="P18" i="4"/>
  <c r="P85" i="4" l="1"/>
  <c r="P83" i="4"/>
  <c r="P81" i="4"/>
  <c r="P80" i="4"/>
  <c r="P79" i="4"/>
  <c r="P78" i="4"/>
  <c r="P77" i="4"/>
  <c r="P76" i="4"/>
  <c r="P75" i="4"/>
  <c r="P73" i="4"/>
  <c r="P67" i="4"/>
  <c r="P62" i="4"/>
  <c r="P57" i="4"/>
  <c r="P56" i="4"/>
  <c r="P55" i="4"/>
  <c r="P51" i="4"/>
  <c r="P49" i="4"/>
  <c r="P47" i="4"/>
  <c r="P46" i="4"/>
  <c r="P45" i="4"/>
  <c r="P44" i="4"/>
  <c r="P41" i="4"/>
  <c r="P40" i="4"/>
  <c r="P33" i="4"/>
  <c r="P39" i="4" l="1"/>
  <c r="P35" i="4"/>
  <c r="P32" i="4"/>
  <c r="P27" i="4"/>
  <c r="P25" i="4"/>
  <c r="P23" i="4"/>
  <c r="P22" i="4"/>
  <c r="P72" i="6"/>
  <c r="P26" i="4" l="1"/>
  <c r="P83" i="6"/>
  <c r="P81" i="6"/>
  <c r="P79" i="6"/>
  <c r="P78" i="6"/>
  <c r="P77" i="6"/>
  <c r="P76" i="6"/>
  <c r="P75" i="6"/>
  <c r="P74" i="6"/>
  <c r="P73" i="6"/>
  <c r="P71" i="6"/>
  <c r="P66" i="6"/>
  <c r="P60" i="6"/>
  <c r="P58" i="6"/>
  <c r="P57" i="6"/>
  <c r="P56" i="6"/>
  <c r="P52" i="6"/>
  <c r="P50" i="6"/>
  <c r="P48" i="6"/>
  <c r="P47" i="6"/>
  <c r="P46" i="6"/>
  <c r="P45" i="6"/>
  <c r="P42" i="6"/>
  <c r="P41" i="6"/>
  <c r="P39" i="6"/>
  <c r="P35" i="6"/>
  <c r="P32" i="6"/>
  <c r="P30" i="6"/>
  <c r="P27" i="6"/>
  <c r="P25" i="6"/>
  <c r="P23" i="6"/>
  <c r="P22" i="6"/>
  <c r="P18" i="6"/>
  <c r="P72" i="5"/>
  <c r="P39" i="5" l="1"/>
  <c r="P38" i="5"/>
  <c r="P83" i="5"/>
  <c r="P81" i="5"/>
  <c r="P79" i="5"/>
  <c r="P78" i="5"/>
  <c r="P77" i="5"/>
  <c r="P76" i="5"/>
  <c r="P75" i="5"/>
  <c r="P74" i="5"/>
  <c r="P73" i="5"/>
  <c r="P71" i="5"/>
  <c r="P62" i="5"/>
  <c r="P56" i="5"/>
  <c r="P54" i="5"/>
  <c r="P53" i="5"/>
  <c r="P52" i="5"/>
  <c r="P48" i="5"/>
  <c r="P46" i="5"/>
  <c r="P44" i="5"/>
  <c r="P43" i="5"/>
  <c r="P41" i="5"/>
  <c r="P36" i="5"/>
  <c r="P32" i="5"/>
  <c r="P30" i="5"/>
  <c r="P29" i="5"/>
  <c r="P27" i="5"/>
  <c r="P25" i="5"/>
  <c r="P23" i="5"/>
  <c r="P22" i="5"/>
  <c r="P18" i="5"/>
  <c r="P70" i="5" l="1"/>
  <c r="P196" i="11"/>
  <c r="P198" i="11"/>
  <c r="P200" i="11"/>
  <c r="P78" i="11"/>
  <c r="P66" i="11"/>
  <c r="P26" i="11"/>
  <c r="P205" i="10"/>
  <c r="P64" i="10"/>
  <c r="P80" i="10" s="1"/>
  <c r="P26" i="12"/>
  <c r="P64" i="12"/>
  <c r="P78" i="12"/>
  <c r="P195" i="12"/>
  <c r="P191" i="12"/>
  <c r="P236" i="9"/>
  <c r="P232" i="9"/>
  <c r="P79" i="9"/>
  <c r="P66" i="9"/>
  <c r="P26" i="9"/>
  <c r="P249" i="8"/>
  <c r="P247" i="8"/>
  <c r="P245" i="8"/>
  <c r="P88" i="8"/>
  <c r="P73" i="8"/>
  <c r="P26" i="8"/>
  <c r="P239" i="7"/>
  <c r="P237" i="7"/>
  <c r="P235" i="7"/>
  <c r="P89" i="7"/>
  <c r="P74" i="7"/>
  <c r="P26" i="7"/>
  <c r="P240" i="4"/>
  <c r="P238" i="4"/>
  <c r="P87" i="4"/>
  <c r="P72" i="4"/>
  <c r="P234" i="6"/>
  <c r="P232" i="6"/>
  <c r="P230" i="6"/>
  <c r="P85" i="6"/>
  <c r="P70" i="6"/>
  <c r="P26" i="6"/>
  <c r="P85" i="5"/>
  <c r="P211" i="10" l="1"/>
  <c r="P80" i="12"/>
  <c r="P197" i="12" s="1"/>
  <c r="P81" i="9"/>
  <c r="P80" i="11"/>
  <c r="P202" i="11" s="1"/>
  <c r="P90" i="8"/>
  <c r="P251" i="8" s="1"/>
  <c r="P91" i="7"/>
  <c r="P241" i="7" s="1"/>
  <c r="P89" i="4"/>
  <c r="P242" i="4" s="1"/>
  <c r="P87" i="6"/>
  <c r="P236" i="6" s="1"/>
  <c r="P71" i="3" l="1"/>
  <c r="P82" i="3" l="1"/>
  <c r="P80" i="3"/>
  <c r="P78" i="3"/>
  <c r="P77" i="3"/>
  <c r="P76" i="3"/>
  <c r="P75" i="3"/>
  <c r="P74" i="3"/>
  <c r="P73" i="3"/>
  <c r="P72" i="3"/>
  <c r="P70" i="3"/>
  <c r="P64" i="3"/>
  <c r="P57" i="3"/>
  <c r="P55" i="3"/>
  <c r="P54" i="3"/>
  <c r="P53" i="3"/>
  <c r="P49" i="3"/>
  <c r="P47" i="3"/>
  <c r="P45" i="3"/>
  <c r="P44" i="3"/>
  <c r="P43" i="3"/>
  <c r="P42" i="3"/>
  <c r="P39" i="3"/>
  <c r="P38" i="3"/>
  <c r="P36" i="3"/>
  <c r="P32" i="3"/>
  <c r="P30" i="3"/>
  <c r="P29" i="3"/>
  <c r="P27" i="3"/>
  <c r="P25" i="3"/>
  <c r="P23" i="3"/>
  <c r="P22" i="3"/>
  <c r="P18" i="3"/>
  <c r="P84" i="3" l="1"/>
  <c r="P69" i="3"/>
  <c r="P224" i="3"/>
  <c r="P222" i="3"/>
  <c r="P220" i="3"/>
  <c r="P26" i="5"/>
  <c r="P87" i="5" s="1"/>
  <c r="P26" i="3"/>
  <c r="P86" i="3" l="1"/>
  <c r="P226" i="3" s="1"/>
  <c r="P217" i="5" l="1"/>
  <c r="P221" i="5"/>
  <c r="P219" i="5"/>
  <c r="P223" i="5" l="1"/>
  <c r="P9" i="11"/>
  <c r="P13" i="10"/>
  <c r="P13" i="12"/>
  <c r="P13" i="11" l="1"/>
  <c r="P11" i="9"/>
  <c r="P13" i="9" s="1"/>
  <c r="P9" i="8"/>
  <c r="P9" i="7"/>
  <c r="P9" i="4"/>
  <c r="P13" i="4" s="1"/>
  <c r="P10" i="6"/>
  <c r="P9" i="6"/>
  <c r="P9" i="5"/>
  <c r="P9" i="3"/>
  <c r="P13" i="6" l="1"/>
  <c r="P13" i="8"/>
  <c r="P13" i="7"/>
  <c r="P13" i="5"/>
  <c r="P234" i="9"/>
  <c r="P13" i="3"/>
  <c r="O11" i="9"/>
  <c r="O75" i="9"/>
  <c r="O74" i="9"/>
  <c r="O73" i="9"/>
  <c r="O72" i="9"/>
  <c r="O71" i="9"/>
  <c r="O70" i="9"/>
  <c r="O69" i="9"/>
  <c r="O68" i="9"/>
  <c r="O67" i="9"/>
  <c r="O63" i="9"/>
  <c r="O57" i="9"/>
  <c r="O55" i="9"/>
  <c r="O53" i="9"/>
  <c r="P238" i="9" l="1"/>
  <c r="O68" i="11"/>
  <c r="O18" i="11"/>
  <c r="O18" i="8"/>
  <c r="O18" i="7"/>
  <c r="O76" i="7"/>
  <c r="O18" i="4"/>
  <c r="O72" i="6"/>
  <c r="O18" i="6"/>
  <c r="O72" i="5"/>
  <c r="O71" i="3"/>
  <c r="O18" i="3"/>
  <c r="O77" i="11" l="1"/>
  <c r="O76" i="11"/>
  <c r="O75" i="11"/>
  <c r="O74" i="11"/>
  <c r="O73" i="11"/>
  <c r="O72" i="11"/>
  <c r="O71" i="11"/>
  <c r="O70" i="11"/>
  <c r="O69" i="11"/>
  <c r="O67" i="11"/>
  <c r="O63" i="11"/>
  <c r="O57" i="11"/>
  <c r="O55" i="11"/>
  <c r="O53" i="11"/>
  <c r="O49" i="11"/>
  <c r="O47" i="11"/>
  <c r="O45" i="11"/>
  <c r="O44" i="11"/>
  <c r="O43" i="11"/>
  <c r="O42" i="11"/>
  <c r="O37" i="11"/>
  <c r="O33" i="11"/>
  <c r="O31" i="11"/>
  <c r="O29" i="11"/>
  <c r="O27" i="11"/>
  <c r="O25" i="11"/>
  <c r="O23" i="11"/>
  <c r="O22" i="11"/>
  <c r="O20" i="11"/>
  <c r="O86" i="8" l="1"/>
  <c r="O84" i="8"/>
  <c r="O82" i="8"/>
  <c r="O81" i="8"/>
  <c r="O80" i="8"/>
  <c r="O79" i="8"/>
  <c r="O78" i="8"/>
  <c r="O77" i="8"/>
  <c r="O76" i="8"/>
  <c r="O75" i="8"/>
  <c r="O74" i="8"/>
  <c r="O69" i="8"/>
  <c r="O63" i="8"/>
  <c r="O59" i="8"/>
  <c r="O57" i="8"/>
  <c r="O53" i="8"/>
  <c r="O50" i="8"/>
  <c r="O48" i="8"/>
  <c r="O47" i="8"/>
  <c r="O46" i="8"/>
  <c r="O45" i="8"/>
  <c r="O39" i="8"/>
  <c r="O35" i="8"/>
  <c r="O33" i="8"/>
  <c r="O32" i="8"/>
  <c r="O27" i="8"/>
  <c r="O25" i="8"/>
  <c r="O23" i="8"/>
  <c r="O22" i="8"/>
  <c r="O20" i="8"/>
  <c r="O87" i="7" l="1"/>
  <c r="O85" i="7"/>
  <c r="O83" i="7"/>
  <c r="O82" i="7"/>
  <c r="O81" i="7"/>
  <c r="O80" i="7"/>
  <c r="O79" i="7"/>
  <c r="O78" i="7"/>
  <c r="O77" i="7"/>
  <c r="O75" i="7"/>
  <c r="O68" i="7"/>
  <c r="O62" i="7"/>
  <c r="O57" i="7"/>
  <c r="O55" i="7"/>
  <c r="O51" i="7"/>
  <c r="O49" i="7"/>
  <c r="O47" i="7"/>
  <c r="O46" i="7"/>
  <c r="O45" i="7"/>
  <c r="O44" i="7"/>
  <c r="O38" i="7"/>
  <c r="O34" i="7"/>
  <c r="O30" i="7"/>
  <c r="O29" i="7"/>
  <c r="O27" i="7"/>
  <c r="O25" i="7"/>
  <c r="O23" i="7"/>
  <c r="O22" i="7"/>
  <c r="O20" i="7"/>
  <c r="O85" i="4" l="1"/>
  <c r="O83" i="4"/>
  <c r="O81" i="4"/>
  <c r="O80" i="4"/>
  <c r="O79" i="4"/>
  <c r="O78" i="4"/>
  <c r="O77" i="4"/>
  <c r="O76" i="4"/>
  <c r="O75" i="4"/>
  <c r="O74" i="4"/>
  <c r="O73" i="4"/>
  <c r="O67" i="4"/>
  <c r="O62" i="4"/>
  <c r="O57" i="4"/>
  <c r="O55" i="4"/>
  <c r="O51" i="4"/>
  <c r="O49" i="4"/>
  <c r="O47" i="4"/>
  <c r="O46" i="4"/>
  <c r="O45" i="4"/>
  <c r="O44" i="4"/>
  <c r="O39" i="4"/>
  <c r="O35" i="4"/>
  <c r="O33" i="4"/>
  <c r="O32" i="4"/>
  <c r="O27" i="4"/>
  <c r="O25" i="4"/>
  <c r="O23" i="4"/>
  <c r="O22" i="4"/>
  <c r="O20" i="4"/>
  <c r="O22" i="6" l="1"/>
  <c r="O83" i="6"/>
  <c r="O81" i="6"/>
  <c r="O79" i="6"/>
  <c r="O78" i="6"/>
  <c r="O77" i="6"/>
  <c r="O76" i="6"/>
  <c r="O75" i="6"/>
  <c r="O74" i="6"/>
  <c r="O73" i="6"/>
  <c r="O71" i="6"/>
  <c r="O66" i="6"/>
  <c r="O60" i="6"/>
  <c r="O58" i="6"/>
  <c r="O56" i="6"/>
  <c r="O52" i="6"/>
  <c r="O50" i="6"/>
  <c r="O48" i="6"/>
  <c r="O47" i="6"/>
  <c r="O46" i="6"/>
  <c r="O45" i="6"/>
  <c r="O39" i="6"/>
  <c r="O35" i="6"/>
  <c r="O32" i="6"/>
  <c r="O30" i="6"/>
  <c r="O27" i="6"/>
  <c r="O25" i="6"/>
  <c r="O23" i="6"/>
  <c r="O20" i="6"/>
  <c r="O10" i="6"/>
  <c r="O83" i="5" l="1"/>
  <c r="O81" i="5"/>
  <c r="O79" i="5"/>
  <c r="O78" i="5"/>
  <c r="O77" i="5"/>
  <c r="O76" i="5"/>
  <c r="O75" i="5"/>
  <c r="O74" i="5"/>
  <c r="O73" i="5"/>
  <c r="O71" i="5"/>
  <c r="O62" i="5"/>
  <c r="O56" i="5"/>
  <c r="O54" i="5"/>
  <c r="O52" i="5"/>
  <c r="O48" i="5"/>
  <c r="O46" i="5"/>
  <c r="O44" i="5"/>
  <c r="O43" i="5"/>
  <c r="O42" i="5"/>
  <c r="O41" i="5"/>
  <c r="O36" i="5"/>
  <c r="O32" i="5"/>
  <c r="O30" i="5"/>
  <c r="O29" i="5"/>
  <c r="O27" i="5"/>
  <c r="O25" i="5"/>
  <c r="O23" i="5"/>
  <c r="O22" i="5"/>
  <c r="O20" i="5"/>
  <c r="O18" i="5"/>
  <c r="O23" i="3" l="1"/>
  <c r="O70" i="3"/>
  <c r="O72" i="3"/>
  <c r="O73" i="3"/>
  <c r="O74" i="3"/>
  <c r="O75" i="3"/>
  <c r="O76" i="3"/>
  <c r="O77" i="3"/>
  <c r="O78" i="3"/>
  <c r="O80" i="3"/>
  <c r="O82" i="3"/>
  <c r="O57" i="3"/>
  <c r="O55" i="3"/>
  <c r="O64" i="3"/>
  <c r="O53" i="3"/>
  <c r="O49" i="3"/>
  <c r="O47" i="3"/>
  <c r="O45" i="3"/>
  <c r="O44" i="3"/>
  <c r="O43" i="3"/>
  <c r="O42" i="3"/>
  <c r="O36" i="3"/>
  <c r="O32" i="3"/>
  <c r="O30" i="3"/>
  <c r="O29" i="3"/>
  <c r="O27" i="3"/>
  <c r="O25" i="3"/>
  <c r="O22" i="3"/>
  <c r="O20" i="3"/>
  <c r="U26" i="7" l="1"/>
  <c r="V26" i="7" s="1"/>
  <c r="U26" i="6" l="1"/>
  <c r="V26" i="6" s="1"/>
  <c r="U26" i="5"/>
  <c r="V26" i="5" s="1"/>
  <c r="N68" i="11" l="1"/>
  <c r="N71" i="3"/>
  <c r="N75" i="8" l="1"/>
  <c r="N76" i="7"/>
  <c r="N237" i="7"/>
  <c r="N239" i="7"/>
  <c r="N74" i="4"/>
  <c r="N72" i="6" l="1"/>
  <c r="O39" i="5"/>
  <c r="O38" i="5"/>
  <c r="N72" i="5" l="1"/>
  <c r="O200" i="11" l="1"/>
  <c r="O196" i="11"/>
  <c r="O78" i="11"/>
  <c r="O66" i="11"/>
  <c r="O205" i="10"/>
  <c r="O211" i="10" s="1"/>
  <c r="O195" i="12"/>
  <c r="O191" i="12"/>
  <c r="O236" i="9"/>
  <c r="N236" i="9"/>
  <c r="O234" i="9"/>
  <c r="O232" i="9"/>
  <c r="O79" i="9"/>
  <c r="O66" i="9"/>
  <c r="O249" i="8"/>
  <c r="O247" i="8"/>
  <c r="O245" i="8"/>
  <c r="O88" i="8"/>
  <c r="O73" i="8"/>
  <c r="O239" i="7" l="1"/>
  <c r="O237" i="7"/>
  <c r="O235" i="7"/>
  <c r="O89" i="7"/>
  <c r="O74" i="7"/>
  <c r="O240" i="4"/>
  <c r="O238" i="4"/>
  <c r="O236" i="4"/>
  <c r="O87" i="4"/>
  <c r="O72" i="4"/>
  <c r="O234" i="6"/>
  <c r="O232" i="6"/>
  <c r="O230" i="6"/>
  <c r="O85" i="6"/>
  <c r="O70" i="6"/>
  <c r="O221" i="5"/>
  <c r="O219" i="5"/>
  <c r="O217" i="5"/>
  <c r="O85" i="5"/>
  <c r="O70" i="5"/>
  <c r="O224" i="3"/>
  <c r="O222" i="3"/>
  <c r="N224" i="3"/>
  <c r="N222" i="3"/>
  <c r="O220" i="3"/>
  <c r="O84" i="3"/>
  <c r="O69" i="3"/>
  <c r="E26" i="11"/>
  <c r="F26" i="11"/>
  <c r="G26" i="11"/>
  <c r="H26" i="11"/>
  <c r="I26" i="11"/>
  <c r="J26" i="11"/>
  <c r="K26" i="11"/>
  <c r="L26" i="11"/>
  <c r="M26" i="11"/>
  <c r="O26" i="11"/>
  <c r="N26" i="11"/>
  <c r="E26" i="9"/>
  <c r="F26" i="9"/>
  <c r="G26" i="9"/>
  <c r="H26" i="9"/>
  <c r="I26" i="9"/>
  <c r="J26" i="9"/>
  <c r="K26" i="9"/>
  <c r="L26" i="9"/>
  <c r="M26" i="9"/>
  <c r="O26" i="9"/>
  <c r="N26" i="9"/>
  <c r="E26" i="8"/>
  <c r="F26" i="8"/>
  <c r="G26" i="8"/>
  <c r="H26" i="8"/>
  <c r="I26" i="8"/>
  <c r="J26" i="8"/>
  <c r="K26" i="8"/>
  <c r="L26" i="8"/>
  <c r="M26" i="8"/>
  <c r="O26" i="8"/>
  <c r="N26" i="8"/>
  <c r="E26" i="7"/>
  <c r="F26" i="7"/>
  <c r="G26" i="7"/>
  <c r="H26" i="7"/>
  <c r="I26" i="7"/>
  <c r="J26" i="7"/>
  <c r="K26" i="7"/>
  <c r="L26" i="7"/>
  <c r="M26" i="7"/>
  <c r="O26" i="7"/>
  <c r="N26" i="7"/>
  <c r="E26" i="4"/>
  <c r="F26" i="4"/>
  <c r="G26" i="4"/>
  <c r="H26" i="4"/>
  <c r="I26" i="4"/>
  <c r="J26" i="4"/>
  <c r="K26" i="4"/>
  <c r="L26" i="4"/>
  <c r="M26" i="4"/>
  <c r="O26" i="4"/>
  <c r="N26" i="4"/>
  <c r="E26" i="6"/>
  <c r="F26" i="6"/>
  <c r="G26" i="6"/>
  <c r="H26" i="6"/>
  <c r="I26" i="6"/>
  <c r="J26" i="6"/>
  <c r="K26" i="6"/>
  <c r="L26" i="6"/>
  <c r="M26" i="6"/>
  <c r="O26" i="6"/>
  <c r="N26" i="6"/>
  <c r="E26" i="5"/>
  <c r="F26" i="5"/>
  <c r="G26" i="5"/>
  <c r="H26" i="5"/>
  <c r="I26" i="5"/>
  <c r="J26" i="5"/>
  <c r="K26" i="5"/>
  <c r="L26" i="5"/>
  <c r="M26" i="5"/>
  <c r="O26" i="5"/>
  <c r="N26" i="5"/>
  <c r="E26" i="3"/>
  <c r="F26" i="3"/>
  <c r="G26" i="3"/>
  <c r="H26" i="3"/>
  <c r="I26" i="3"/>
  <c r="J26" i="3"/>
  <c r="K26" i="3"/>
  <c r="L26" i="3"/>
  <c r="M26" i="3"/>
  <c r="N26" i="3"/>
  <c r="O26" i="3"/>
  <c r="O13" i="11"/>
  <c r="O13" i="10"/>
  <c r="O13" i="9"/>
  <c r="O13" i="8"/>
  <c r="O13" i="7"/>
  <c r="O13" i="4"/>
  <c r="O13" i="6"/>
  <c r="O13" i="5"/>
  <c r="O13" i="3"/>
  <c r="O81" i="9" l="1"/>
  <c r="O238" i="9" s="1"/>
  <c r="O80" i="11"/>
  <c r="O202" i="11" s="1"/>
  <c r="O90" i="8"/>
  <c r="O251" i="8" s="1"/>
  <c r="O86" i="3"/>
  <c r="O226" i="3" s="1"/>
  <c r="O91" i="7"/>
  <c r="O241" i="7" s="1"/>
  <c r="O89" i="4"/>
  <c r="O242" i="4" s="1"/>
  <c r="O87" i="6"/>
  <c r="O236" i="6" s="1"/>
  <c r="O87" i="5"/>
  <c r="O223" i="5" s="1"/>
  <c r="N200" i="11"/>
  <c r="N198" i="11"/>
  <c r="N196" i="11"/>
  <c r="N78" i="11"/>
  <c r="N66" i="11"/>
  <c r="N205" i="10"/>
  <c r="N211" i="10" s="1"/>
  <c r="N80" i="11" l="1"/>
  <c r="N202" i="11" s="1"/>
  <c r="N195" i="12"/>
  <c r="N191" i="12"/>
  <c r="O78" i="12"/>
  <c r="N78" i="12"/>
  <c r="O64" i="12"/>
  <c r="N64" i="12"/>
  <c r="O26" i="12"/>
  <c r="N26" i="12"/>
  <c r="N234" i="9"/>
  <c r="N232" i="9"/>
  <c r="N79" i="9"/>
  <c r="N66" i="9"/>
  <c r="N249" i="8"/>
  <c r="N247" i="8"/>
  <c r="N245" i="8"/>
  <c r="N88" i="8"/>
  <c r="N73" i="8"/>
  <c r="N235" i="7"/>
  <c r="N89" i="7"/>
  <c r="N74" i="7"/>
  <c r="N240" i="4"/>
  <c r="N238" i="4"/>
  <c r="N236" i="4"/>
  <c r="N87" i="4"/>
  <c r="N72" i="4"/>
  <c r="N234" i="6"/>
  <c r="N232" i="6"/>
  <c r="N230" i="6"/>
  <c r="N85" i="6"/>
  <c r="N70" i="6"/>
  <c r="N221" i="5"/>
  <c r="N219" i="5"/>
  <c r="N217" i="5"/>
  <c r="N85" i="5"/>
  <c r="N70" i="5"/>
  <c r="N80" i="12" l="1"/>
  <c r="N197" i="12" s="1"/>
  <c r="O80" i="12"/>
  <c r="O197" i="12" s="1"/>
  <c r="N90" i="8"/>
  <c r="N251" i="8" s="1"/>
  <c r="N91" i="7"/>
  <c r="N241" i="7" s="1"/>
  <c r="N87" i="6"/>
  <c r="N236" i="6" s="1"/>
  <c r="N87" i="5"/>
  <c r="N223" i="5" s="1"/>
  <c r="N81" i="9"/>
  <c r="N238" i="9" s="1"/>
  <c r="N89" i="4"/>
  <c r="N242" i="4" s="1"/>
  <c r="N220" i="3"/>
  <c r="N84" i="3"/>
  <c r="N69" i="3"/>
  <c r="N13" i="11"/>
  <c r="N13" i="10"/>
  <c r="O13" i="12"/>
  <c r="N13" i="12"/>
  <c r="N13" i="9"/>
  <c r="N13" i="8"/>
  <c r="N13" i="7"/>
  <c r="N13" i="4"/>
  <c r="N10" i="6"/>
  <c r="N13" i="5"/>
  <c r="N13" i="3"/>
  <c r="N13" i="6" l="1"/>
  <c r="N86" i="3"/>
  <c r="N226" i="3" s="1"/>
  <c r="M88" i="8" l="1"/>
  <c r="L88" i="8"/>
  <c r="K88" i="8"/>
  <c r="J88" i="8"/>
  <c r="I88" i="8"/>
  <c r="H88" i="8"/>
  <c r="G88" i="8"/>
  <c r="F88" i="8"/>
  <c r="M73" i="8"/>
  <c r="L73" i="8"/>
  <c r="K73" i="8"/>
  <c r="J73" i="8"/>
  <c r="I73" i="8"/>
  <c r="H73" i="8"/>
  <c r="G73" i="8"/>
  <c r="F73" i="8"/>
  <c r="E88" i="8"/>
  <c r="E73" i="8"/>
  <c r="M74" i="7"/>
  <c r="L74" i="7"/>
  <c r="K74" i="7"/>
  <c r="J74" i="7"/>
  <c r="I74" i="7"/>
  <c r="H74" i="7"/>
  <c r="G74" i="7"/>
  <c r="F74" i="7"/>
  <c r="E74" i="7"/>
  <c r="M89" i="7"/>
  <c r="L89" i="7"/>
  <c r="K89" i="7"/>
  <c r="J89" i="7"/>
  <c r="I89" i="7"/>
  <c r="H89" i="7"/>
  <c r="G89" i="7"/>
  <c r="F89" i="7"/>
  <c r="E89" i="7"/>
  <c r="M70" i="6"/>
  <c r="L70" i="6"/>
  <c r="K70" i="6"/>
  <c r="J70" i="6"/>
  <c r="I70" i="6"/>
  <c r="H70" i="6"/>
  <c r="G70" i="6"/>
  <c r="F70" i="6"/>
  <c r="M85" i="6"/>
  <c r="L85" i="6"/>
  <c r="K85" i="6"/>
  <c r="J85" i="6"/>
  <c r="I85" i="6"/>
  <c r="H85" i="6"/>
  <c r="G85" i="6"/>
  <c r="F85" i="6"/>
  <c r="E85" i="6"/>
  <c r="E70" i="6"/>
  <c r="M87" i="4" l="1"/>
  <c r="L87" i="4"/>
  <c r="K87" i="4"/>
  <c r="J87" i="4"/>
  <c r="I87" i="4"/>
  <c r="H87" i="4"/>
  <c r="G87" i="4"/>
  <c r="F87" i="4"/>
  <c r="M72" i="4"/>
  <c r="L72" i="4"/>
  <c r="K72" i="4"/>
  <c r="J72" i="4"/>
  <c r="I72" i="4"/>
  <c r="H72" i="4"/>
  <c r="G72" i="4"/>
  <c r="F72" i="4"/>
  <c r="E87" i="4"/>
  <c r="E72" i="4"/>
  <c r="M85" i="5"/>
  <c r="L85" i="5"/>
  <c r="K85" i="5"/>
  <c r="J85" i="5"/>
  <c r="I85" i="5"/>
  <c r="H85" i="5"/>
  <c r="G85" i="5"/>
  <c r="F85" i="5"/>
  <c r="E85" i="5"/>
  <c r="M70" i="5"/>
  <c r="L70" i="5"/>
  <c r="K70" i="5"/>
  <c r="J70" i="5"/>
  <c r="I70" i="5"/>
  <c r="H70" i="5"/>
  <c r="G70" i="5"/>
  <c r="F70" i="5"/>
  <c r="E70" i="5"/>
  <c r="M69" i="3"/>
  <c r="L69" i="3"/>
  <c r="K69" i="3"/>
  <c r="J69" i="3"/>
  <c r="I69" i="3"/>
  <c r="H69" i="3"/>
  <c r="G69" i="3"/>
  <c r="F69" i="3"/>
  <c r="E69" i="3"/>
  <c r="M84" i="3"/>
  <c r="L84" i="3"/>
  <c r="K84" i="3"/>
  <c r="J84" i="3"/>
  <c r="I84" i="3"/>
  <c r="H84" i="3"/>
  <c r="G84" i="3"/>
  <c r="F84" i="3"/>
  <c r="E84" i="3"/>
  <c r="M191" i="12" l="1"/>
  <c r="L191" i="12"/>
  <c r="K191" i="12"/>
  <c r="J191" i="12"/>
  <c r="I191" i="12"/>
  <c r="H191" i="12"/>
  <c r="G191" i="12"/>
  <c r="F191" i="12"/>
  <c r="E191" i="12"/>
  <c r="M78" i="12"/>
  <c r="L78" i="12"/>
  <c r="K78" i="12"/>
  <c r="J78" i="12"/>
  <c r="I78" i="12"/>
  <c r="H78" i="12"/>
  <c r="G78" i="12"/>
  <c r="F78" i="12"/>
  <c r="E78" i="12"/>
  <c r="M64" i="12"/>
  <c r="L64" i="12"/>
  <c r="K64" i="12"/>
  <c r="J64" i="12"/>
  <c r="I64" i="12"/>
  <c r="H64" i="12"/>
  <c r="G64" i="12"/>
  <c r="F64" i="12"/>
  <c r="E64" i="12"/>
  <c r="M26" i="12"/>
  <c r="L26" i="12"/>
  <c r="K26" i="12"/>
  <c r="J26" i="12"/>
  <c r="I26" i="12"/>
  <c r="H26" i="12"/>
  <c r="G26" i="12"/>
  <c r="F26" i="12"/>
  <c r="E26" i="12"/>
  <c r="M13" i="12"/>
  <c r="L13" i="12"/>
  <c r="K13" i="12"/>
  <c r="J13" i="12"/>
  <c r="I13" i="12"/>
  <c r="H13" i="12"/>
  <c r="G13" i="12"/>
  <c r="F13" i="12"/>
  <c r="E13" i="12"/>
  <c r="K80" i="12" l="1"/>
  <c r="K197" i="12" s="1"/>
  <c r="E80" i="12"/>
  <c r="E197" i="12" s="1"/>
  <c r="M80" i="12"/>
  <c r="M197" i="12" s="1"/>
  <c r="G80" i="12"/>
  <c r="G197" i="12" s="1"/>
  <c r="U191" i="12"/>
  <c r="V191" i="12" s="1"/>
  <c r="U78" i="12"/>
  <c r="V78" i="12" s="1"/>
  <c r="I80" i="12"/>
  <c r="I197" i="12" s="1"/>
  <c r="F80" i="12"/>
  <c r="F197" i="12" s="1"/>
  <c r="H80" i="12"/>
  <c r="H197" i="12" s="1"/>
  <c r="J80" i="12"/>
  <c r="J197" i="12" s="1"/>
  <c r="L80" i="12"/>
  <c r="L197" i="12" s="1"/>
  <c r="U64" i="12"/>
  <c r="V64" i="12" s="1"/>
  <c r="U13" i="12"/>
  <c r="V13" i="12" s="1"/>
  <c r="M196" i="11"/>
  <c r="L196" i="11"/>
  <c r="K196" i="11"/>
  <c r="J196" i="11"/>
  <c r="I196" i="11"/>
  <c r="H196" i="11"/>
  <c r="G196" i="11"/>
  <c r="F196" i="11"/>
  <c r="E196" i="11"/>
  <c r="M78" i="11"/>
  <c r="L78" i="11"/>
  <c r="K78" i="11"/>
  <c r="J78" i="11"/>
  <c r="I78" i="11"/>
  <c r="H78" i="11"/>
  <c r="G78" i="11"/>
  <c r="F78" i="11"/>
  <c r="E78" i="11"/>
  <c r="M66" i="11"/>
  <c r="L66" i="11"/>
  <c r="K66" i="11"/>
  <c r="J66" i="11"/>
  <c r="I66" i="11"/>
  <c r="H66" i="11"/>
  <c r="G66" i="11"/>
  <c r="F66" i="11"/>
  <c r="E66" i="11"/>
  <c r="M13" i="11"/>
  <c r="L13" i="11"/>
  <c r="K13" i="11"/>
  <c r="J13" i="11"/>
  <c r="I13" i="11"/>
  <c r="H13" i="11"/>
  <c r="G13" i="11"/>
  <c r="F13" i="11"/>
  <c r="E13" i="11"/>
  <c r="M205" i="10"/>
  <c r="L205" i="10"/>
  <c r="K205" i="10"/>
  <c r="J205" i="10"/>
  <c r="I205" i="10"/>
  <c r="H205" i="10"/>
  <c r="G205" i="10"/>
  <c r="F205" i="10"/>
  <c r="E205" i="10"/>
  <c r="M78" i="10"/>
  <c r="L78" i="10"/>
  <c r="K78" i="10"/>
  <c r="J78" i="10"/>
  <c r="I78" i="10"/>
  <c r="H78" i="10"/>
  <c r="G78" i="10"/>
  <c r="F78" i="10"/>
  <c r="E78" i="10"/>
  <c r="L64" i="10"/>
  <c r="K64" i="10"/>
  <c r="J64" i="10"/>
  <c r="I64" i="10"/>
  <c r="H64" i="10"/>
  <c r="G64" i="10"/>
  <c r="F64" i="10"/>
  <c r="E64" i="10"/>
  <c r="M26" i="10"/>
  <c r="L26" i="10"/>
  <c r="K26" i="10"/>
  <c r="J26" i="10"/>
  <c r="I26" i="10"/>
  <c r="H26" i="10"/>
  <c r="G26" i="10"/>
  <c r="F26" i="10"/>
  <c r="E26" i="10"/>
  <c r="M13" i="10"/>
  <c r="L13" i="10"/>
  <c r="K13" i="10"/>
  <c r="J13" i="10"/>
  <c r="I13" i="10"/>
  <c r="H13" i="10"/>
  <c r="G13" i="10"/>
  <c r="F13" i="10"/>
  <c r="E13" i="10"/>
  <c r="M232" i="9"/>
  <c r="L232" i="9"/>
  <c r="K232" i="9"/>
  <c r="J232" i="9"/>
  <c r="I232" i="9"/>
  <c r="H232" i="9"/>
  <c r="G232" i="9"/>
  <c r="F232" i="9"/>
  <c r="E232" i="9"/>
  <c r="M79" i="9"/>
  <c r="L79" i="9"/>
  <c r="K79" i="9"/>
  <c r="J79" i="9"/>
  <c r="I79" i="9"/>
  <c r="H79" i="9"/>
  <c r="G79" i="9"/>
  <c r="F79" i="9"/>
  <c r="E79" i="9"/>
  <c r="M66" i="9"/>
  <c r="L66" i="9"/>
  <c r="K66" i="9"/>
  <c r="J66" i="9"/>
  <c r="I66" i="9"/>
  <c r="H66" i="9"/>
  <c r="G66" i="9"/>
  <c r="F66" i="9"/>
  <c r="E66" i="9"/>
  <c r="M13" i="9"/>
  <c r="L13" i="9"/>
  <c r="K13" i="9"/>
  <c r="J13" i="9"/>
  <c r="I13" i="9"/>
  <c r="H13" i="9"/>
  <c r="G13" i="9"/>
  <c r="F13" i="9"/>
  <c r="E13" i="9"/>
  <c r="M245" i="8"/>
  <c r="L245" i="8"/>
  <c r="K245" i="8"/>
  <c r="J245" i="8"/>
  <c r="I245" i="8"/>
  <c r="H245" i="8"/>
  <c r="G245" i="8"/>
  <c r="F245" i="8"/>
  <c r="E245" i="8"/>
  <c r="M90" i="8"/>
  <c r="L90" i="8"/>
  <c r="K90" i="8"/>
  <c r="J90" i="8"/>
  <c r="I90" i="8"/>
  <c r="H90" i="8"/>
  <c r="G90" i="8"/>
  <c r="F90" i="8"/>
  <c r="E90" i="8"/>
  <c r="M13" i="8"/>
  <c r="L13" i="8"/>
  <c r="K13" i="8"/>
  <c r="J13" i="8"/>
  <c r="I13" i="8"/>
  <c r="H13" i="8"/>
  <c r="G13" i="8"/>
  <c r="F13" i="8"/>
  <c r="E13" i="8"/>
  <c r="M235" i="7"/>
  <c r="L235" i="7"/>
  <c r="K235" i="7"/>
  <c r="J235" i="7"/>
  <c r="I235" i="7"/>
  <c r="H235" i="7"/>
  <c r="G235" i="7"/>
  <c r="F235" i="7"/>
  <c r="E235" i="7"/>
  <c r="M13" i="7"/>
  <c r="L13" i="7"/>
  <c r="K13" i="7"/>
  <c r="J13" i="7"/>
  <c r="I13" i="7"/>
  <c r="H13" i="7"/>
  <c r="G13" i="7"/>
  <c r="F13" i="7"/>
  <c r="E13" i="7"/>
  <c r="M230" i="6"/>
  <c r="L230" i="6"/>
  <c r="K230" i="6"/>
  <c r="J230" i="6"/>
  <c r="I230" i="6"/>
  <c r="H230" i="6"/>
  <c r="G230" i="6"/>
  <c r="F230" i="6"/>
  <c r="E230" i="6"/>
  <c r="M13" i="6"/>
  <c r="L13" i="6"/>
  <c r="K13" i="6"/>
  <c r="J13" i="6"/>
  <c r="I13" i="6"/>
  <c r="H13" i="6"/>
  <c r="G13" i="6"/>
  <c r="F13" i="6"/>
  <c r="E13" i="6"/>
  <c r="M217" i="5"/>
  <c r="L217" i="5"/>
  <c r="K217" i="5"/>
  <c r="J217" i="5"/>
  <c r="I217" i="5"/>
  <c r="H217" i="5"/>
  <c r="G217" i="5"/>
  <c r="F217" i="5"/>
  <c r="E217" i="5"/>
  <c r="M87" i="5"/>
  <c r="L87" i="5"/>
  <c r="K87" i="5"/>
  <c r="J87" i="5"/>
  <c r="I87" i="5"/>
  <c r="H87" i="5"/>
  <c r="G87" i="5"/>
  <c r="F87" i="5"/>
  <c r="M13" i="5"/>
  <c r="L13" i="5"/>
  <c r="K13" i="5"/>
  <c r="J13" i="5"/>
  <c r="I13" i="5"/>
  <c r="H13" i="5"/>
  <c r="G13" i="5"/>
  <c r="F13" i="5"/>
  <c r="E13" i="5"/>
  <c r="I80" i="10" l="1"/>
  <c r="I211" i="10" s="1"/>
  <c r="U13" i="9"/>
  <c r="V13" i="9" s="1"/>
  <c r="J80" i="10"/>
  <c r="J211" i="10" s="1"/>
  <c r="G223" i="5"/>
  <c r="H223" i="5"/>
  <c r="F81" i="9"/>
  <c r="F238" i="9" s="1"/>
  <c r="E80" i="10"/>
  <c r="E211" i="10" s="1"/>
  <c r="J81" i="9"/>
  <c r="J238" i="9" s="1"/>
  <c r="L81" i="9"/>
  <c r="L238" i="9" s="1"/>
  <c r="H80" i="10"/>
  <c r="H211" i="10" s="1"/>
  <c r="K80" i="10"/>
  <c r="K211" i="10" s="1"/>
  <c r="F223" i="5"/>
  <c r="L80" i="10"/>
  <c r="L211" i="10" s="1"/>
  <c r="M80" i="10"/>
  <c r="M211" i="10" s="1"/>
  <c r="U85" i="6"/>
  <c r="V85" i="6" s="1"/>
  <c r="F80" i="10"/>
  <c r="F211" i="10" s="1"/>
  <c r="G80" i="10"/>
  <c r="G211" i="10" s="1"/>
  <c r="U78" i="11"/>
  <c r="V78" i="11" s="1"/>
  <c r="U196" i="11"/>
  <c r="V196" i="11" s="1"/>
  <c r="U66" i="11"/>
  <c r="V66" i="11" s="1"/>
  <c r="F80" i="11"/>
  <c r="F202" i="11" s="1"/>
  <c r="H80" i="11"/>
  <c r="H202" i="11" s="1"/>
  <c r="J80" i="11"/>
  <c r="J202" i="11" s="1"/>
  <c r="L80" i="11"/>
  <c r="L202" i="11" s="1"/>
  <c r="E80" i="11"/>
  <c r="E202" i="11" s="1"/>
  <c r="G80" i="11"/>
  <c r="G202" i="11" s="1"/>
  <c r="I80" i="11"/>
  <c r="I202" i="11" s="1"/>
  <c r="K80" i="11"/>
  <c r="K202" i="11" s="1"/>
  <c r="M80" i="11"/>
  <c r="M202" i="11" s="1"/>
  <c r="U64" i="10"/>
  <c r="V64" i="10" s="1"/>
  <c r="U78" i="10"/>
  <c r="V78" i="10" s="1"/>
  <c r="U80" i="12"/>
  <c r="V80" i="12" s="1"/>
  <c r="H81" i="9"/>
  <c r="H238" i="9" s="1"/>
  <c r="U79" i="9"/>
  <c r="V79" i="9" s="1"/>
  <c r="U66" i="9"/>
  <c r="V66" i="9" s="1"/>
  <c r="E81" i="9"/>
  <c r="E238" i="9" s="1"/>
  <c r="G81" i="9"/>
  <c r="G238" i="9" s="1"/>
  <c r="I81" i="9"/>
  <c r="I238" i="9" s="1"/>
  <c r="K81" i="9"/>
  <c r="K238" i="9" s="1"/>
  <c r="M81" i="9"/>
  <c r="M238" i="9" s="1"/>
  <c r="U232" i="9"/>
  <c r="V232" i="9" s="1"/>
  <c r="E251" i="8"/>
  <c r="G251" i="8"/>
  <c r="I251" i="8"/>
  <c r="K251" i="8"/>
  <c r="M251" i="8"/>
  <c r="F251" i="8"/>
  <c r="H251" i="8"/>
  <c r="J251" i="8"/>
  <c r="L251" i="8"/>
  <c r="U245" i="8"/>
  <c r="V245" i="8" s="1"/>
  <c r="U73" i="8"/>
  <c r="V73" i="8" s="1"/>
  <c r="U88" i="8"/>
  <c r="V88" i="8" s="1"/>
  <c r="E91" i="7"/>
  <c r="E241" i="7" s="1"/>
  <c r="G91" i="7"/>
  <c r="G241" i="7" s="1"/>
  <c r="I91" i="7"/>
  <c r="I241" i="7" s="1"/>
  <c r="K91" i="7"/>
  <c r="K241" i="7" s="1"/>
  <c r="M91" i="7"/>
  <c r="M241" i="7" s="1"/>
  <c r="F91" i="7"/>
  <c r="F241" i="7" s="1"/>
  <c r="H91" i="7"/>
  <c r="H241" i="7" s="1"/>
  <c r="J91" i="7"/>
  <c r="J241" i="7" s="1"/>
  <c r="L91" i="7"/>
  <c r="L241" i="7" s="1"/>
  <c r="U74" i="7"/>
  <c r="V74" i="7" s="1"/>
  <c r="U89" i="7"/>
  <c r="V89" i="7" s="1"/>
  <c r="U235" i="7"/>
  <c r="V235" i="7" s="1"/>
  <c r="U70" i="6"/>
  <c r="V70" i="6" s="1"/>
  <c r="M87" i="6"/>
  <c r="M236" i="6" s="1"/>
  <c r="L87" i="6"/>
  <c r="L236" i="6" s="1"/>
  <c r="K87" i="6"/>
  <c r="K236" i="6" s="1"/>
  <c r="J87" i="6"/>
  <c r="J236" i="6" s="1"/>
  <c r="I87" i="6"/>
  <c r="I236" i="6" s="1"/>
  <c r="H87" i="6"/>
  <c r="H236" i="6" s="1"/>
  <c r="G87" i="6"/>
  <c r="G236" i="6" s="1"/>
  <c r="F87" i="6"/>
  <c r="F236" i="6" s="1"/>
  <c r="E87" i="6"/>
  <c r="E236" i="6" s="1"/>
  <c r="U230" i="6"/>
  <c r="V230" i="6" s="1"/>
  <c r="M223" i="5"/>
  <c r="L223" i="5"/>
  <c r="K223" i="5"/>
  <c r="J223" i="5"/>
  <c r="I223" i="5"/>
  <c r="E87" i="5"/>
  <c r="E223" i="5" s="1"/>
  <c r="U217" i="5"/>
  <c r="V217" i="5" s="1"/>
  <c r="U70" i="5"/>
  <c r="V70" i="5" s="1"/>
  <c r="U85" i="5"/>
  <c r="V85" i="5" s="1"/>
  <c r="U13" i="5"/>
  <c r="V13" i="5" s="1"/>
  <c r="U13" i="11"/>
  <c r="V13" i="11" s="1"/>
  <c r="U13" i="10"/>
  <c r="V13" i="10" s="1"/>
  <c r="U13" i="8"/>
  <c r="V13" i="8" s="1"/>
  <c r="U13" i="7"/>
  <c r="V13" i="7" s="1"/>
  <c r="U13" i="6"/>
  <c r="V13" i="6" s="1"/>
  <c r="U205" i="10"/>
  <c r="V205" i="10" s="1"/>
  <c r="M13" i="4"/>
  <c r="L13" i="4"/>
  <c r="M89" i="4"/>
  <c r="L89" i="4"/>
  <c r="M236" i="4"/>
  <c r="K236" i="4"/>
  <c r="J236" i="4"/>
  <c r="L236" i="4"/>
  <c r="M220" i="3"/>
  <c r="L220" i="3"/>
  <c r="M13" i="3"/>
  <c r="L13" i="3"/>
  <c r="U197" i="12" l="1"/>
  <c r="V197" i="12" s="1"/>
  <c r="U80" i="10"/>
  <c r="V80" i="10" s="1"/>
  <c r="U72" i="4"/>
  <c r="V72" i="4" s="1"/>
  <c r="U80" i="11"/>
  <c r="V80" i="11" s="1"/>
  <c r="U81" i="9"/>
  <c r="V81" i="9" s="1"/>
  <c r="U90" i="8"/>
  <c r="V90" i="8" s="1"/>
  <c r="U91" i="7"/>
  <c r="V91" i="7" s="1"/>
  <c r="U87" i="6"/>
  <c r="V87" i="6" s="1"/>
  <c r="U87" i="5"/>
  <c r="V87" i="5" s="1"/>
  <c r="M242" i="4"/>
  <c r="L242" i="4"/>
  <c r="U87" i="4"/>
  <c r="V87" i="4" s="1"/>
  <c r="U69" i="3"/>
  <c r="V69" i="3" s="1"/>
  <c r="U84" i="3"/>
  <c r="V84" i="3" s="1"/>
  <c r="L86" i="3"/>
  <c r="L226" i="3" s="1"/>
  <c r="M86" i="3"/>
  <c r="U13" i="4"/>
  <c r="V13" i="4" s="1"/>
  <c r="U13" i="3"/>
  <c r="V13" i="3" s="1"/>
  <c r="K220" i="3"/>
  <c r="J220" i="3"/>
  <c r="I220" i="3"/>
  <c r="H220" i="3"/>
  <c r="G220" i="3"/>
  <c r="F220" i="3"/>
  <c r="E220" i="3"/>
  <c r="E236" i="4"/>
  <c r="U211" i="10" l="1"/>
  <c r="V211" i="10" s="1"/>
  <c r="U202" i="11"/>
  <c r="V202" i="11" s="1"/>
  <c r="U251" i="8"/>
  <c r="V251" i="8" s="1"/>
  <c r="U236" i="6"/>
  <c r="V236" i="6" s="1"/>
  <c r="U223" i="5"/>
  <c r="V223" i="5" s="1"/>
  <c r="U238" i="9"/>
  <c r="V238" i="9" s="1"/>
  <c r="U89" i="4"/>
  <c r="V89" i="4" s="1"/>
  <c r="U241" i="7"/>
  <c r="V241" i="7" s="1"/>
  <c r="M226" i="3"/>
  <c r="U86" i="3"/>
  <c r="V86" i="3" s="1"/>
  <c r="H89" i="4"/>
  <c r="G89" i="4"/>
  <c r="F89" i="4"/>
  <c r="I236" i="4"/>
  <c r="H236" i="4"/>
  <c r="G236" i="4"/>
  <c r="F236" i="4"/>
  <c r="U242" i="4" l="1"/>
  <c r="V242" i="4" s="1"/>
  <c r="U226" i="3"/>
  <c r="V226" i="3" s="1"/>
  <c r="E89" i="4"/>
  <c r="E242" i="4" s="1"/>
  <c r="K89" i="4"/>
  <c r="J89" i="4"/>
  <c r="I89" i="4"/>
  <c r="I242" i="4" s="1"/>
  <c r="H242" i="4"/>
  <c r="F242" i="4"/>
  <c r="G242" i="4"/>
  <c r="G86" i="3"/>
  <c r="H86" i="3" l="1"/>
  <c r="H226" i="3" s="1"/>
  <c r="K242" i="4"/>
  <c r="J242" i="4"/>
  <c r="K86" i="3"/>
  <c r="J86" i="3"/>
  <c r="J226" i="3" s="1"/>
  <c r="I86" i="3"/>
  <c r="F86" i="3"/>
  <c r="F226" i="3" s="1"/>
  <c r="E86" i="3"/>
  <c r="G226" i="3"/>
  <c r="K226" i="3" l="1"/>
  <c r="I226" i="3"/>
  <c r="E226" i="3"/>
  <c r="K13" i="4"/>
  <c r="J13" i="4"/>
  <c r="I13" i="4"/>
  <c r="H13" i="4"/>
  <c r="G13" i="4"/>
  <c r="F13" i="4"/>
  <c r="E13" i="4"/>
  <c r="K13" i="3" l="1"/>
  <c r="J13" i="3"/>
  <c r="I13" i="3"/>
  <c r="H13" i="3"/>
  <c r="G13" i="3"/>
  <c r="F13" i="3"/>
  <c r="E13" i="3"/>
</calcChain>
</file>

<file path=xl/sharedStrings.xml><?xml version="1.0" encoding="utf-8"?>
<sst xmlns="http://schemas.openxmlformats.org/spreadsheetml/2006/main" count="4803" uniqueCount="500">
  <si>
    <t>Central Connecticut State University</t>
  </si>
  <si>
    <t>Other Expenses</t>
  </si>
  <si>
    <t>Totals</t>
  </si>
  <si>
    <t>FY 2006</t>
  </si>
  <si>
    <t>FY 2007</t>
  </si>
  <si>
    <t>FY 2008</t>
  </si>
  <si>
    <t>FY 2009</t>
  </si>
  <si>
    <t>FY 2010</t>
  </si>
  <si>
    <t>FY 2011</t>
  </si>
  <si>
    <t>FY 2012</t>
  </si>
  <si>
    <t>FY 2013</t>
  </si>
  <si>
    <t>FT Salaries/Wages-State Retirement</t>
  </si>
  <si>
    <t>FT Salaries/Wages-Teacher Ret/No SS</t>
  </si>
  <si>
    <t>FT Salaries/Wages-Teacher Rt/Med/SS</t>
  </si>
  <si>
    <t>FT Salaries/Wages-Alt Ret Plan/NoSS</t>
  </si>
  <si>
    <t>FT Salaries/Wages-Alt Ret Plan/SS</t>
  </si>
  <si>
    <t>FT Salaries/Wages-Alt Ret Plan/Med</t>
  </si>
  <si>
    <t>FT Salaries/Wages-Ret Not Eligible</t>
  </si>
  <si>
    <t>Accrued Salary Expense</t>
  </si>
  <si>
    <t>Lecturers-Teaching</t>
  </si>
  <si>
    <t>Lecturers-Non Teaching</t>
  </si>
  <si>
    <t>Permanent or Intermittent PT</t>
  </si>
  <si>
    <t>Personal Service Agreements</t>
  </si>
  <si>
    <t>University Assistant</t>
  </si>
  <si>
    <t>Reemployed Retirees</t>
  </si>
  <si>
    <t>Graduate Assistants</t>
  </si>
  <si>
    <t>Graduate Intern</t>
  </si>
  <si>
    <t>Student Labor-Regular Student Help</t>
  </si>
  <si>
    <t>Summer Workers with Social Security</t>
  </si>
  <si>
    <t>Federal College Work Study</t>
  </si>
  <si>
    <t>Federal College Work Study Match</t>
  </si>
  <si>
    <t>Cooperative Education</t>
  </si>
  <si>
    <t>Overtime</t>
  </si>
  <si>
    <t>Shift Differential</t>
  </si>
  <si>
    <t>Holiday Pay</t>
  </si>
  <si>
    <t>Moving Expenses</t>
  </si>
  <si>
    <t>Compensated Absence Expense</t>
  </si>
  <si>
    <t>Retirement Incentive Payout</t>
  </si>
  <si>
    <t>Longevity-State Retirement</t>
  </si>
  <si>
    <t>Longevity-Teacher Ret/No SS</t>
  </si>
  <si>
    <t>Longevity-Teacher Ret/Med/SS</t>
  </si>
  <si>
    <t>Longevity-Alt Ret Plan/No SS</t>
  </si>
  <si>
    <t>Longevity-Alt Ret Plan/Full SS</t>
  </si>
  <si>
    <t>Longevity-Alt Ret Plan/Med</t>
  </si>
  <si>
    <t>Accr. Vacation-State Retirement</t>
  </si>
  <si>
    <t>Accr. Vacation-Alt Ret Plan/Full SS</t>
  </si>
  <si>
    <t>Accrued Sick-State Retirement</t>
  </si>
  <si>
    <t>Accrued Sick-Death/Disability</t>
  </si>
  <si>
    <t>Accrued Sick-Teacher Ret/No SS</t>
  </si>
  <si>
    <t>Accrued Sick-Alt Ret Plan/No SS</t>
  </si>
  <si>
    <t>Accrued Sick-Alt Ret Plan/Full SS</t>
  </si>
  <si>
    <t>Accrued Sick-Alt Ret Plan/Med</t>
  </si>
  <si>
    <t>Rept Pymt-State Retirement</t>
  </si>
  <si>
    <t>Rept Pymt-Alt Ret Plan/Full SS</t>
  </si>
  <si>
    <t>Rept Pymt-Alt Ret Plan/Med SS</t>
  </si>
  <si>
    <t>Workers Comp Fringe</t>
  </si>
  <si>
    <t>Fringe</t>
  </si>
  <si>
    <t>Group Life Insurance</t>
  </si>
  <si>
    <t>Medical Insurance</t>
  </si>
  <si>
    <t>Unemployment Compensation</t>
  </si>
  <si>
    <t>FICA</t>
  </si>
  <si>
    <t>Medicare Taxes</t>
  </si>
  <si>
    <t>State Employees Retirement System</t>
  </si>
  <si>
    <t>Alternate Retirement Plan</t>
  </si>
  <si>
    <t>Teachers Retirement</t>
  </si>
  <si>
    <t>Compensated Absence Fringe</t>
  </si>
  <si>
    <t>Retirement Incentive Payout Fringe</t>
  </si>
  <si>
    <t>Accrued Salary Fringe</t>
  </si>
  <si>
    <t>Waivers</t>
  </si>
  <si>
    <t>Bad Debt Expense</t>
  </si>
  <si>
    <t>Conferences</t>
  </si>
  <si>
    <t>Conferences-Food Service</t>
  </si>
  <si>
    <t>Animal Care</t>
  </si>
  <si>
    <t>Books</t>
  </si>
  <si>
    <t>Educational Supplies</t>
  </si>
  <si>
    <t>Electronic Media</t>
  </si>
  <si>
    <t>Employee Educational Costs-Non Rpt</t>
  </si>
  <si>
    <t>Personnel Advertising</t>
  </si>
  <si>
    <t>Advertising</t>
  </si>
  <si>
    <t>Auditing Service</t>
  </si>
  <si>
    <t>Consulting Services</t>
  </si>
  <si>
    <t>Honoraria and Lecturer</t>
  </si>
  <si>
    <t>Insurance</t>
  </si>
  <si>
    <t>Medical Service</t>
  </si>
  <si>
    <t>Non Professional Services - Other</t>
  </si>
  <si>
    <t>Professional Services - Other</t>
  </si>
  <si>
    <t>Athletes &amp; Entertainers Appearances</t>
  </si>
  <si>
    <t>Teacher and Lecturer Stipends</t>
  </si>
  <si>
    <t>Temporary Agency Office Services</t>
  </si>
  <si>
    <t>Dues and Memberships</t>
  </si>
  <si>
    <t>Subscriptions</t>
  </si>
  <si>
    <t>Licenses</t>
  </si>
  <si>
    <t>Bank Charges</t>
  </si>
  <si>
    <t>Credit Card Fees</t>
  </si>
  <si>
    <t>Other Fees</t>
  </si>
  <si>
    <t>Athletic Recruiting OS</t>
  </si>
  <si>
    <t>Travel - In State</t>
  </si>
  <si>
    <t>Travel - Out of State</t>
  </si>
  <si>
    <t>Travel - International</t>
  </si>
  <si>
    <t>Personal Vehicle Mile Reimbursement</t>
  </si>
  <si>
    <t>Employee Training IS</t>
  </si>
  <si>
    <t>Employee Training OS</t>
  </si>
  <si>
    <t>Training - Non Employee</t>
  </si>
  <si>
    <t>Professional Development IS</t>
  </si>
  <si>
    <t>Professional Dvlpmnt - Internationa</t>
  </si>
  <si>
    <t>Candidate Reimbursement</t>
  </si>
  <si>
    <t>Cable Television</t>
  </si>
  <si>
    <t>Electricity</t>
  </si>
  <si>
    <t>Gasoline</t>
  </si>
  <si>
    <t>General Maintenance Repairs</t>
  </si>
  <si>
    <t>Building Equipment Repairs</t>
  </si>
  <si>
    <t>Office Equipment Repairs</t>
  </si>
  <si>
    <t>Education Equipment Repairs</t>
  </si>
  <si>
    <t>Motor Vehicle Repairs</t>
  </si>
  <si>
    <t>Maintenance Paper Supplies</t>
  </si>
  <si>
    <t>Maintenance General Supplies</t>
  </si>
  <si>
    <t>Repair Materials</t>
  </si>
  <si>
    <t>Grounds and Landscape Supplies</t>
  </si>
  <si>
    <t>Motor Vehicle Supplies</t>
  </si>
  <si>
    <t>Motor Vehicle Parts</t>
  </si>
  <si>
    <t>Signage</t>
  </si>
  <si>
    <t>Reportable Rents</t>
  </si>
  <si>
    <t>Other Purchased Services</t>
  </si>
  <si>
    <t>Janitorial Services</t>
  </si>
  <si>
    <t>Laundry and Dry Cleaning</t>
  </si>
  <si>
    <t>Hardware Purchases Under $1,000</t>
  </si>
  <si>
    <t>Hardware Maintenance</t>
  </si>
  <si>
    <t>Software Licenses</t>
  </si>
  <si>
    <t>Software Maintenance</t>
  </si>
  <si>
    <t>Software Support</t>
  </si>
  <si>
    <t>Software Purchases</t>
  </si>
  <si>
    <t>Data Processing Services</t>
  </si>
  <si>
    <t>Telecom Equip Purchase Under $1,000</t>
  </si>
  <si>
    <t>Telecom Cellular Equipment</t>
  </si>
  <si>
    <t>Telecom Wiring and Repairs</t>
  </si>
  <si>
    <t>Telephone, Telegram and Fax</t>
  </si>
  <si>
    <t>Cellular Service</t>
  </si>
  <si>
    <t>Telecom Recurring Charges</t>
  </si>
  <si>
    <t>Telecom Toll Charges</t>
  </si>
  <si>
    <t>Telecom Local Charges</t>
  </si>
  <si>
    <t>Telecom Conference Call Charges</t>
  </si>
  <si>
    <t>Office Supplies</t>
  </si>
  <si>
    <t>Copier Paper and Supplies</t>
  </si>
  <si>
    <t>Contract Office Supplies</t>
  </si>
  <si>
    <t>Data Processing Supplies</t>
  </si>
  <si>
    <t>Clothing</t>
  </si>
  <si>
    <t>Compressed Gasses</t>
  </si>
  <si>
    <t>Equipment Purchases Under $1,000</t>
  </si>
  <si>
    <t>Carpet &amp; Window Treatments &lt;$1,000</t>
  </si>
  <si>
    <t>Furniture &amp; Furnishings &lt;$1,000</t>
  </si>
  <si>
    <t>Food</t>
  </si>
  <si>
    <t>Laboratory Supplies</t>
  </si>
  <si>
    <t>Medical Supplies</t>
  </si>
  <si>
    <t>Other Supplies</t>
  </si>
  <si>
    <t>Promotional Supplies</t>
  </si>
  <si>
    <t>Printing and Binding</t>
  </si>
  <si>
    <t>Duplicating Services</t>
  </si>
  <si>
    <t>Freight and Storage</t>
  </si>
  <si>
    <t>Postage</t>
  </si>
  <si>
    <t>Bus and Shuttle Services</t>
  </si>
  <si>
    <t>Fleet Pool</t>
  </si>
  <si>
    <t>Motor Vehicle Rentals</t>
  </si>
  <si>
    <t>Oper Lease-Copy Machines</t>
  </si>
  <si>
    <t>Oper Lease-Other Personal Property</t>
  </si>
  <si>
    <t>Indirect Overhead</t>
  </si>
  <si>
    <t>Cap Lease-Copy Machines</t>
  </si>
  <si>
    <t>Building Improvement</t>
  </si>
  <si>
    <t>Building Equipment and Systems</t>
  </si>
  <si>
    <t>Carpet and Window Treatments</t>
  </si>
  <si>
    <t>Furniture and Furnishings</t>
  </si>
  <si>
    <t>Office Equipment</t>
  </si>
  <si>
    <t>Miscellaneous Equipment</t>
  </si>
  <si>
    <t>Computer Equipment</t>
  </si>
  <si>
    <t>Educational Equipment</t>
  </si>
  <si>
    <t>Telecom Infrastructure</t>
  </si>
  <si>
    <t>PT Salaries/Wages-Teacher Rt/Med/SS</t>
  </si>
  <si>
    <t>PT Salaries/Wages-Alt Ret Plan/Med</t>
  </si>
  <si>
    <t>Athletic Coaches</t>
  </si>
  <si>
    <t>Accr. Vacation-Teacher Ret/Med/SS</t>
  </si>
  <si>
    <t>Accr. Vacation-Alt Ret Plan/No SS</t>
  </si>
  <si>
    <t>Accr. Vacation-Alt Ret Plan/Med</t>
  </si>
  <si>
    <t>Rept Pymt-Teacher Ret/Med SS</t>
  </si>
  <si>
    <t>Grants &amp; Financial Aid, Non Need Ba</t>
  </si>
  <si>
    <t>Film Rentals</t>
  </si>
  <si>
    <t>Accreditation</t>
  </si>
  <si>
    <t>Diplomas</t>
  </si>
  <si>
    <t>Consuls Support</t>
  </si>
  <si>
    <t>Research Participant Stipends</t>
  </si>
  <si>
    <t>Team Travel IS</t>
  </si>
  <si>
    <t>Team Travel OS</t>
  </si>
  <si>
    <t>Athletic Recruiting IS</t>
  </si>
  <si>
    <t>Non-Reportable Rents</t>
  </si>
  <si>
    <t>Environmental/Safety Services</t>
  </si>
  <si>
    <t>Architect/Engineering Services</t>
  </si>
  <si>
    <t>Equipment Rentals</t>
  </si>
  <si>
    <t>Telecom Network Services</t>
  </si>
  <si>
    <t>Law Enforcement Supplies</t>
  </si>
  <si>
    <t>Oper Lease-Other Equipment</t>
  </si>
  <si>
    <t>Oper Lease-Real Estate Property</t>
  </si>
  <si>
    <t>Delivery Services</t>
  </si>
  <si>
    <t>Laboratory Testing and Services</t>
  </si>
  <si>
    <t>Translation &amp; Interpretation Serv</t>
  </si>
  <si>
    <t>Miscellaneous Expenses</t>
  </si>
  <si>
    <t>Fed Unrelated Business Income Tax</t>
  </si>
  <si>
    <t>Land Improvements</t>
  </si>
  <si>
    <t>Buildings</t>
  </si>
  <si>
    <t>Fine Arts</t>
  </si>
  <si>
    <t>Hospital, Medical &amp; Surgical Equip</t>
  </si>
  <si>
    <t>Motor Vehicles</t>
  </si>
  <si>
    <t>Environ/Safety Equipment &gt; $1,000</t>
  </si>
  <si>
    <t>Library Books</t>
  </si>
  <si>
    <t>Other Library Materials</t>
  </si>
  <si>
    <t>Periodicals</t>
  </si>
  <si>
    <t>Personal Services</t>
  </si>
  <si>
    <t>Account</t>
  </si>
  <si>
    <t>Account Description</t>
  </si>
  <si>
    <t>Detail - Academic Support Expenditures (4.0)</t>
  </si>
  <si>
    <t>Detail - Instructional Expenditures (1.0)</t>
  </si>
  <si>
    <t>Allocation of Operations &amp; Maintenance of Plant *</t>
  </si>
  <si>
    <t>Allocation of Depreciation *</t>
  </si>
  <si>
    <t>Note: * - Per a change in the IPEDS reporting format to bring public institutions in line with private institutions, the expenditures for the Operations and Maintenance of Plant and</t>
  </si>
  <si>
    <t xml:space="preserve">             for Depreciation are to be allocated to other programmatic areas.  The VPFAs agreed to used the salary and benefits method to allocate these expenditures.</t>
  </si>
  <si>
    <t>Transfer from CFOE08 to RSRV01</t>
  </si>
  <si>
    <t>Transfer from CFOE11 to RSRV18</t>
  </si>
  <si>
    <t>Transfer from ITBD CFOE08 to RSRV41</t>
  </si>
  <si>
    <t>IPEDS - Fiscal Year Comparison</t>
  </si>
  <si>
    <t>Instructional Expenditures (1.0)</t>
  </si>
  <si>
    <t>Academic Support Expenditures (4.0)</t>
  </si>
  <si>
    <t>% Change</t>
  </si>
  <si>
    <t>Subtotal - Full Time Salaries/Wages</t>
  </si>
  <si>
    <t>Subtotal - Other Personal Services</t>
  </si>
  <si>
    <t>Subtotal - Fringe Benefits</t>
  </si>
  <si>
    <t>Subtotal - All Personal Services</t>
  </si>
  <si>
    <t>Subtotal - All Other Expenses</t>
  </si>
  <si>
    <t>CFOExx</t>
  </si>
  <si>
    <t>Academic Enhancement Reclassification</t>
  </si>
  <si>
    <t>FY 2014</t>
  </si>
  <si>
    <t>Functional Breakdown</t>
  </si>
  <si>
    <t>Research Expenditures (2.0)</t>
  </si>
  <si>
    <t>Detail - Research Expenditures (2.0)</t>
  </si>
  <si>
    <t>Detail - Public Service Expenditures (3.0)</t>
  </si>
  <si>
    <t>Public Service Expenditures (3.0)</t>
  </si>
  <si>
    <t>Student Services Expenditures (5.0)</t>
  </si>
  <si>
    <t>Detail - Student Services Expenditures (5.0)</t>
  </si>
  <si>
    <t>Institutional Support Expenditures (6.0)</t>
  </si>
  <si>
    <t>Detail - Institutional Support Expenditures (6.0)</t>
  </si>
  <si>
    <t>Detail - Oper. &amp; Maint. of Plant Expenditures (7.0)</t>
  </si>
  <si>
    <t>Operations &amp; Maint. of Plant Expenditures (7.0)</t>
  </si>
  <si>
    <t>Detail - Scholarships Expenditures (8.0)</t>
  </si>
  <si>
    <t>Scholarships Expenditures (8.0)</t>
  </si>
  <si>
    <t>Detail - Auxiliary Enterprises Expenditures (9.0)</t>
  </si>
  <si>
    <t>Auxiliary Enterprises Expenditures (9.0)</t>
  </si>
  <si>
    <t>Depreciation Expenditures (7.7)</t>
  </si>
  <si>
    <t>Detail - Depreciation Expenditures (7.7)</t>
  </si>
  <si>
    <t>PT Salaries/Wages-Alt Ret Plan/SS</t>
  </si>
  <si>
    <t>Rept Pymt-Alt Ret Plan/No SS</t>
  </si>
  <si>
    <t>Rept Pymt-Teacher Ret/No SS</t>
  </si>
  <si>
    <t>Rept Pymt-Retirement Not Eligible</t>
  </si>
  <si>
    <t>AAUP Research Grant-Misc Payments</t>
  </si>
  <si>
    <t>Subcontracts</t>
  </si>
  <si>
    <t>Hazardous Material Supplies</t>
  </si>
  <si>
    <t>Software</t>
  </si>
  <si>
    <t>Research Equipment</t>
  </si>
  <si>
    <t>Fund Deduction-Other</t>
  </si>
  <si>
    <t>Temporary or Seasonal PT</t>
  </si>
  <si>
    <t>Fellowships</t>
  </si>
  <si>
    <t>Food Service Contract</t>
  </si>
  <si>
    <t>Collection Fees</t>
  </si>
  <si>
    <t>Refuse Removal</t>
  </si>
  <si>
    <t>Natural Gas</t>
  </si>
  <si>
    <t>Water</t>
  </si>
  <si>
    <t>Sewer</t>
  </si>
  <si>
    <t>Interest Expense</t>
  </si>
  <si>
    <t>Transfer from System Office</t>
  </si>
  <si>
    <t>Durational Employees</t>
  </si>
  <si>
    <t>Snow &amp; Ice Differential</t>
  </si>
  <si>
    <t>Legal Services</t>
  </si>
  <si>
    <t>Athletic Recruiting International</t>
  </si>
  <si>
    <t>Drugs</t>
  </si>
  <si>
    <t>Personal Supplies</t>
  </si>
  <si>
    <t>Forms Printing</t>
  </si>
  <si>
    <t>Interest Penalty</t>
  </si>
  <si>
    <t>Perf Recog/Retn (dfd Comp) Expense</t>
  </si>
  <si>
    <t>Grants &amp; Financial Aid, Need Based</t>
  </si>
  <si>
    <t>Professional Development OS</t>
  </si>
  <si>
    <t>Diesel</t>
  </si>
  <si>
    <t>Maintenance Cleaning Supplies</t>
  </si>
  <si>
    <t>Tools</t>
  </si>
  <si>
    <t>Appraisal Services</t>
  </si>
  <si>
    <t>Telecom Maintenance</t>
  </si>
  <si>
    <t>Environ/Safety Purchases &lt;$1,000</t>
  </si>
  <si>
    <t>Cap Lease-Other Equipment</t>
  </si>
  <si>
    <t>Telecom Data Equipment</t>
  </si>
  <si>
    <t>Telecom Voice Equipment</t>
  </si>
  <si>
    <t>Overtime-Temporary Employees</t>
  </si>
  <si>
    <t>Fuel Oil #2</t>
  </si>
  <si>
    <t>Fuel Oil #1</t>
  </si>
  <si>
    <t>Land</t>
  </si>
  <si>
    <t>Telecom Video Equipment</t>
  </si>
  <si>
    <t>Gain/Loss on Disposal of Assets</t>
  </si>
  <si>
    <t>Fund Addition-Expended for Plant</t>
  </si>
  <si>
    <t>Depreciation</t>
  </si>
  <si>
    <t>Direct Lending</t>
  </si>
  <si>
    <t>Perkins Loan Expense</t>
  </si>
  <si>
    <t>Transfer to Agency Fund</t>
  </si>
  <si>
    <t>FY 2015</t>
  </si>
  <si>
    <t>FY 2016</t>
  </si>
  <si>
    <t>Other Settlements - Reportable</t>
  </si>
  <si>
    <t>Transfer to Other State Agencies</t>
  </si>
  <si>
    <t>FY 2017</t>
  </si>
  <si>
    <t>State Work Study</t>
  </si>
  <si>
    <t>Accrued Sick-Teacher Ret/Med/SS</t>
  </si>
  <si>
    <t>Accr. Vacation-Teacher Ret/No SS</t>
  </si>
  <si>
    <t>PT Salaries/Wages-Alt Ret Plan/NoSS</t>
  </si>
  <si>
    <t>FY 2018</t>
  </si>
  <si>
    <t>Transfer from ONESA7 to SLD901</t>
  </si>
  <si>
    <t>Cap Lease-Other Personal Property</t>
  </si>
  <si>
    <t>Salaries &amp; Wages Full Time</t>
  </si>
  <si>
    <t>Salaries &amp; Wages Part Time</t>
  </si>
  <si>
    <t>Salaries &amp; Wages Contractual NCL</t>
  </si>
  <si>
    <t>Salaries &amp; Wages Lecturers-Teaching</t>
  </si>
  <si>
    <t>Salaries &amp; Wages Reemployed Retiree</t>
  </si>
  <si>
    <t>Salaries &amp; Wages GR Assistants</t>
  </si>
  <si>
    <t>Salaries &amp; Wages GR Intern</t>
  </si>
  <si>
    <t>Salaries &amp; Wages Univ Assistant</t>
  </si>
  <si>
    <t>Salaries &amp; Wages Student</t>
  </si>
  <si>
    <t>Salaries &amp; Wages-Cooperative Ed</t>
  </si>
  <si>
    <t>Salaries &amp; Wages-Federal Work Study</t>
  </si>
  <si>
    <t>Salaries &amp; Wages-Federal WS Match</t>
  </si>
  <si>
    <t>Salaries &amp; Wages-State Work Study</t>
  </si>
  <si>
    <t>Longevity Payments</t>
  </si>
  <si>
    <t>Overtime Holiday Pay</t>
  </si>
  <si>
    <t>Shift Differential-Snow &amp; Ice</t>
  </si>
  <si>
    <t>Accumulated Leave Payout Vacation</t>
  </si>
  <si>
    <t>Accumulated Leave Payout Sick</t>
  </si>
  <si>
    <t>Teachers Retirement System</t>
  </si>
  <si>
    <t>Fringe - Contra Expense</t>
  </si>
  <si>
    <t>Liability Insurance</t>
  </si>
  <si>
    <t>Auditing</t>
  </si>
  <si>
    <t>Medical Services</t>
  </si>
  <si>
    <t>Other Professional Services</t>
  </si>
  <si>
    <t>Athletes &amp; Entertainment Services</t>
  </si>
  <si>
    <t>Other Services</t>
  </si>
  <si>
    <t>Honoraria</t>
  </si>
  <si>
    <t>Temporary Agency Services</t>
  </si>
  <si>
    <t>Stipends - Non Employee</t>
  </si>
  <si>
    <t>Dues &amp; Memberships</t>
  </si>
  <si>
    <t>Translation &amp; Interpretation Svcs</t>
  </si>
  <si>
    <t>Laboratory Testing &amp; Services</t>
  </si>
  <si>
    <t>E-Subscriptions &amp; Electronic Media</t>
  </si>
  <si>
    <t>Shuttle Services</t>
  </si>
  <si>
    <t>Meeting/Banquet/Conference Hosting</t>
  </si>
  <si>
    <t>Books Non-Capital</t>
  </si>
  <si>
    <t>Contractual Waivers</t>
  </si>
  <si>
    <t>Grants &amp; Fin Aid, Non Need Based</t>
  </si>
  <si>
    <t>Bad Debt Expense - Tuition and Fees</t>
  </si>
  <si>
    <t>Travel - InState</t>
  </si>
  <si>
    <t>Travel - Team InState</t>
  </si>
  <si>
    <t>Travel- Athletic Recruiting InState</t>
  </si>
  <si>
    <t>Travel - Employee Training InState</t>
  </si>
  <si>
    <t>Travel - OutState</t>
  </si>
  <si>
    <t>Travel - Team OutState</t>
  </si>
  <si>
    <t>Travel-Athletic Recruiting OutState</t>
  </si>
  <si>
    <t>Personal Vehicle Mileage</t>
  </si>
  <si>
    <t>Travel - Candidate Reimbursement</t>
  </si>
  <si>
    <t>Travel - Non Employee Training</t>
  </si>
  <si>
    <t>Utilities - Electricity</t>
  </si>
  <si>
    <t>Utilities - Natural Gas/Propane</t>
  </si>
  <si>
    <t>Fuel - Oil #2</t>
  </si>
  <si>
    <t>Utilities - Water</t>
  </si>
  <si>
    <t>Utilities - Sewer</t>
  </si>
  <si>
    <t>Utilities - Cable TV &amp; Internet</t>
  </si>
  <si>
    <t>Fuel - Gasoline</t>
  </si>
  <si>
    <t>Fuel - Diesel</t>
  </si>
  <si>
    <t>Maintenance/Repairs - General</t>
  </si>
  <si>
    <t>Maintenance/Repairs - Office Equip</t>
  </si>
  <si>
    <t>Maintenance/Repairs - Ed Equipment</t>
  </si>
  <si>
    <t>Maintenance/Repairs - Motor Vehicle</t>
  </si>
  <si>
    <t>Supplies - Maintenance</t>
  </si>
  <si>
    <t>Supplies - Repair Materials</t>
  </si>
  <si>
    <t>Supplies - Grounds &amp; Landscape</t>
  </si>
  <si>
    <t>Motor Vehicle Supplies &amp; Parts</t>
  </si>
  <si>
    <t>Carpet/Window Treatments - Non-Cap</t>
  </si>
  <si>
    <t>Furniture &amp; Furnishings - Non-Cap</t>
  </si>
  <si>
    <t>Environmental/Safety - Non-Cap</t>
  </si>
  <si>
    <t>Signage - Non-Cap</t>
  </si>
  <si>
    <t>Facility Svcs - Environmentl/Safety</t>
  </si>
  <si>
    <t>Facility Svcs - Laundry/DryCleaning</t>
  </si>
  <si>
    <t>Facility Svcs - Refuse/TrashRemoval</t>
  </si>
  <si>
    <t>Facility Services - Other</t>
  </si>
  <si>
    <t>Facilities - Lease &amp; Rental</t>
  </si>
  <si>
    <t>Hardware Maintenance &amp; Support</t>
  </si>
  <si>
    <t>Hardware Equipment Non-Cap</t>
  </si>
  <si>
    <t>Hardware Equipment Rentals</t>
  </si>
  <si>
    <t>Software Maintenance/Support</t>
  </si>
  <si>
    <t>Software License</t>
  </si>
  <si>
    <t>Technology Svcs - Wiring &amp; Repairs</t>
  </si>
  <si>
    <t>Technology Svcs - Telecomm</t>
  </si>
  <si>
    <t>Technology Svcs - Cellular</t>
  </si>
  <si>
    <t>Technology Svcs - Other</t>
  </si>
  <si>
    <t>Technology Supplies</t>
  </si>
  <si>
    <t>Supplies - Office</t>
  </si>
  <si>
    <t>Supplies - Food/Bev/Meals</t>
  </si>
  <si>
    <t>Supplies - Law Enforcement</t>
  </si>
  <si>
    <t>Supplies - Medical</t>
  </si>
  <si>
    <t>Supplies - Drugs &amp; Pharmaceuticals</t>
  </si>
  <si>
    <t>Supplies - Clothing &amp; Footwear</t>
  </si>
  <si>
    <t>Supplies - Promotional</t>
  </si>
  <si>
    <t>Supplies - Other</t>
  </si>
  <si>
    <t>Printing &amp; Binding</t>
  </si>
  <si>
    <t>Shipping &amp; Freight</t>
  </si>
  <si>
    <t>Lease - Other Equipment</t>
  </si>
  <si>
    <t>Lease - Copy Machine</t>
  </si>
  <si>
    <t>Op Expense - Vehicle Rental</t>
  </si>
  <si>
    <t>Op Expense - Sundry &amp; Misc</t>
  </si>
  <si>
    <t>Admin Cost Allowance &amp; Indirect OH</t>
  </si>
  <si>
    <t>Interest &amp; Late Payment Expense</t>
  </si>
  <si>
    <t>Building Improvements</t>
  </si>
  <si>
    <t>Building Equipment &amp; Systems</t>
  </si>
  <si>
    <t>Capital - Office Equipment</t>
  </si>
  <si>
    <t>Capital - Technology Equipment</t>
  </si>
  <si>
    <t>Capital - Other Equipment</t>
  </si>
  <si>
    <t>Old-Carpet &amp; Window Treatment-6 Yrs</t>
  </si>
  <si>
    <t>Old-Furniture &amp; Furnishing - 15 Yrs</t>
  </si>
  <si>
    <t>Capital - Vehicle</t>
  </si>
  <si>
    <t>Old-Library Books - 20 Yrs</t>
  </si>
  <si>
    <t>Capital - Library Other Materials</t>
  </si>
  <si>
    <t>Capital - Library Periodicals</t>
  </si>
  <si>
    <t>Salaries &amp; Wages Temporary/Seasonal</t>
  </si>
  <si>
    <t>Salaries &amp; Wages Durational</t>
  </si>
  <si>
    <t>Salaries &amp; Wages Athletic Coaches</t>
  </si>
  <si>
    <t>Salaries &amp; Wages-Stdnt Summer w/SS</t>
  </si>
  <si>
    <t>Accrued Compensated Absence Exp-ACA</t>
  </si>
  <si>
    <t>Performance Recog/Return Expense</t>
  </si>
  <si>
    <t>Accrued Comp Absence-ACA Fringe</t>
  </si>
  <si>
    <t>Grants&amp;Financial Aid-Need Based-CSU</t>
  </si>
  <si>
    <t>Library System Support (ExLibris)</t>
  </si>
  <si>
    <t>NonReportable Tuition Reimbursement</t>
  </si>
  <si>
    <t>Other Edu Svcs &amp; Support - Misc</t>
  </si>
  <si>
    <t>Payments to Sub recipients</t>
  </si>
  <si>
    <t>Travel - Employee Training OutState</t>
  </si>
  <si>
    <t>Fuel - Oil #1</t>
  </si>
  <si>
    <t>Tools - Non-Cap</t>
  </si>
  <si>
    <t>Compressed Gases</t>
  </si>
  <si>
    <t>Op Expense - Equip Non-Cap</t>
  </si>
  <si>
    <t>Supplies - Hazardous Material</t>
  </si>
  <si>
    <t>Lease - Real Estate Property</t>
  </si>
  <si>
    <t>Mailing/Delivery Costs</t>
  </si>
  <si>
    <t>Leased Property Improvements</t>
  </si>
  <si>
    <t>Site Improvements</t>
  </si>
  <si>
    <t>Art &amp; Historical Treasures</t>
  </si>
  <si>
    <t>Capital - Software</t>
  </si>
  <si>
    <t>Old-Telecom Voice Equip - 10 Yrs</t>
  </si>
  <si>
    <t>Gain/Loss - Disposal of Assets</t>
  </si>
  <si>
    <t>COA 4 Account Description</t>
  </si>
  <si>
    <t>COA 4</t>
  </si>
  <si>
    <t>Transfer (In) from CSU SO</t>
  </si>
  <si>
    <t>NonMan Trfs to Agency Funds</t>
  </si>
  <si>
    <t>Fund Additions - Expended for Plant</t>
  </si>
  <si>
    <t>Transfer Out to Other State Agency</t>
  </si>
  <si>
    <t>Fund Deduction - Other</t>
  </si>
  <si>
    <t>NonMan Trfs to Plant Funds</t>
  </si>
  <si>
    <t>FY 2019</t>
  </si>
  <si>
    <t>Athletes Event Services</t>
  </si>
  <si>
    <t>Educational EQ noncap</t>
  </si>
  <si>
    <t>Laboratory Chemicals</t>
  </si>
  <si>
    <t>Maintenance/Repairs - Building</t>
  </si>
  <si>
    <t>Insurance Student Accident</t>
  </si>
  <si>
    <t>Capital - Library Books</t>
  </si>
  <si>
    <t>Transfer Out to CSU SO</t>
  </si>
  <si>
    <t>Transfer to System Office</t>
  </si>
  <si>
    <t>Beginning with FY 2019, the recognition of the CHEFA bond payments. (FY 2019 - $5,639,830) are to be recorded as a "Inter agency transfer" within the "Other changes in net position" section and not an adjustment to tuition and fees per CSCU System Office and Grant Thornton, LLC.</t>
  </si>
  <si>
    <t>Beginning with FY 2019, the transfer of the debt service fee (FY 2019 - $7,282,291) are to be recorded as a "Inter agency transfer" within the "Other changes in net position" section and not an adjustment to tuition and fees per CSCU System Office and Grant Thornton, LLC.</t>
  </si>
  <si>
    <t>COA 1</t>
  </si>
  <si>
    <t>FY 2020</t>
  </si>
  <si>
    <t>Facility Svcs - Storage Expense</t>
  </si>
  <si>
    <t>N/A</t>
  </si>
  <si>
    <t>Educational Services</t>
  </si>
  <si>
    <t>Facility Svcs - Security</t>
  </si>
  <si>
    <t>Other Expenses - Non Operating</t>
  </si>
  <si>
    <t>Op Expense - Art Non-Cap</t>
  </si>
  <si>
    <t>Emergency Grant Funding</t>
  </si>
  <si>
    <t>M:\General\IPEDS\Fiscal Year Comparison\IPEDS Fiscal Year Comparison - FY 2006-2020 w COA 4 Translation</t>
  </si>
  <si>
    <t>Academic Affairs (1.0, 2.0, 3.0)</t>
  </si>
  <si>
    <t>Sub Totals</t>
  </si>
  <si>
    <t>Totals by Expense Category</t>
  </si>
  <si>
    <t>Grand Totals of Expenses</t>
  </si>
  <si>
    <t>Expense Category to Total Expenses</t>
  </si>
  <si>
    <t>Totals by Program</t>
  </si>
  <si>
    <t>Subtotal</t>
  </si>
  <si>
    <t>Total Expenses by Program</t>
  </si>
  <si>
    <t>Program to Total Expenses</t>
  </si>
  <si>
    <t>IPEDS History FY2010 - FY2020</t>
  </si>
  <si>
    <t>FY 2006 through FY 2021</t>
  </si>
  <si>
    <t>FY 2021</t>
  </si>
  <si>
    <t>Change from FY 20 vs. FY 21</t>
  </si>
  <si>
    <t>Virtual Conferences</t>
  </si>
  <si>
    <t>Athletic Officiating Services</t>
  </si>
  <si>
    <t>Maintenance Equipment - Non-Cap</t>
  </si>
  <si>
    <t>Worker Compensation Cost Recovery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</si>
</sst>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</numFmts>
  <fonts count="15" x14ac:knownFonts="1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  <charset val="204"/>
    </font>
    <font>
      <sz val="8"/>
      <color theme="1"/>
      <name val="Arial"/>
      <family val="2"/>
    </font>
    <font>
      <sz val="10"/>
      <color theme="1"/>
      <name val="Arial"/>
      <family val="2"/>
    </font>
    <font>
      <sz val="9"/>
      <name val="Arial"/>
      <family val="2"/>
      <charset val="204"/>
    </font>
    <font>
      <sz val="10"/>
      <name val="Arial"/>
      <family val="2"/>
    </font>
    <font>
      <sz val="10"/>
      <name val="Microsoft Sans Serif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0"/>
      <name val="Microsoft Sans Serif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9" fontId="4" fillId="0" borderId="0" applyFont="0" applyFill="0" applyBorder="0" applyAlignment="0" applyProtection="0"/>
    <xf numFmtId="0" fontId="5" fillId="0" borderId="0"/>
    <xf numFmtId="43" fontId="4" fillId="0" borderId="0" applyFont="0" applyFill="0" applyBorder="0" applyAlignment="0" applyProtection="0"/>
    <xf numFmtId="0" fontId="1" fillId="0" borderId="0"/>
  </cellStyleXfs>
  <cellXfs count="108">
    <xf numFmtId="0" fontId="0" fillId="0" borderId="0" xfId="0"/>
    <xf numFmtId="0" fontId="2" fillId="0" borderId="0" xfId="0" applyNumberFormat="1" applyFont="1" applyFill="1"/>
    <xf numFmtId="43" fontId="2" fillId="0" borderId="0" xfId="0" applyNumberFormat="1" applyFont="1" applyFill="1"/>
    <xf numFmtId="0" fontId="0" fillId="0" borderId="0" xfId="0" applyFill="1"/>
    <xf numFmtId="43" fontId="0" fillId="0" borderId="0" xfId="0" applyNumberFormat="1" applyFill="1"/>
    <xf numFmtId="0" fontId="2" fillId="0" borderId="0" xfId="0" applyNumberFormat="1" applyFont="1" applyFill="1" applyAlignment="1">
      <alignment horizontal="right"/>
    </xf>
    <xf numFmtId="43" fontId="2" fillId="0" borderId="3" xfId="0" applyNumberFormat="1" applyFont="1" applyFill="1" applyBorder="1"/>
    <xf numFmtId="43" fontId="2" fillId="0" borderId="1" xfId="0" applyNumberFormat="1" applyFont="1" applyFill="1" applyBorder="1"/>
    <xf numFmtId="0" fontId="0" fillId="0" borderId="1" xfId="0" applyFill="1" applyBorder="1"/>
    <xf numFmtId="0" fontId="0" fillId="0" borderId="1" xfId="0" applyFill="1" applyBorder="1" applyAlignment="1">
      <alignment horizontal="center"/>
    </xf>
    <xf numFmtId="43" fontId="0" fillId="0" borderId="2" xfId="0" applyNumberFormat="1" applyFill="1" applyBorder="1"/>
    <xf numFmtId="43" fontId="0" fillId="0" borderId="3" xfId="0" applyNumberFormat="1" applyFill="1" applyBorder="1"/>
    <xf numFmtId="0" fontId="3" fillId="0" borderId="0" xfId="0" applyFont="1" applyFill="1"/>
    <xf numFmtId="43" fontId="0" fillId="0" borderId="0" xfId="0" applyNumberFormat="1" applyFill="1" applyBorder="1"/>
    <xf numFmtId="0" fontId="0" fillId="0" borderId="0" xfId="0" applyFill="1" applyAlignment="1">
      <alignment horizontal="right"/>
    </xf>
    <xf numFmtId="0" fontId="0" fillId="0" borderId="5" xfId="0" applyFill="1" applyBorder="1"/>
    <xf numFmtId="43" fontId="0" fillId="0" borderId="5" xfId="0" applyNumberFormat="1" applyFill="1" applyBorder="1"/>
    <xf numFmtId="43" fontId="2" fillId="0" borderId="6" xfId="0" applyNumberFormat="1" applyFont="1" applyFill="1" applyBorder="1"/>
    <xf numFmtId="43" fontId="2" fillId="0" borderId="5" xfId="0" applyNumberFormat="1" applyFont="1" applyFill="1" applyBorder="1"/>
    <xf numFmtId="43" fontId="2" fillId="0" borderId="4" xfId="0" applyNumberFormat="1" applyFont="1" applyFill="1" applyBorder="1"/>
    <xf numFmtId="43" fontId="0" fillId="0" borderId="6" xfId="0" applyNumberFormat="1" applyFill="1" applyBorder="1"/>
    <xf numFmtId="43" fontId="0" fillId="0" borderId="7" xfId="0" applyNumberFormat="1" applyFill="1" applyBorder="1"/>
    <xf numFmtId="43" fontId="2" fillId="0" borderId="0" xfId="2" applyNumberFormat="1" applyFont="1" applyFill="1"/>
    <xf numFmtId="0" fontId="2" fillId="0" borderId="0" xfId="2" applyNumberFormat="1" applyFont="1"/>
    <xf numFmtId="43" fontId="2" fillId="0" borderId="0" xfId="2" applyNumberFormat="1" applyFont="1"/>
    <xf numFmtId="0" fontId="2" fillId="0" borderId="0" xfId="2" applyNumberFormat="1" applyFont="1"/>
    <xf numFmtId="43" fontId="2" fillId="0" borderId="0" xfId="2" applyNumberFormat="1" applyFont="1"/>
    <xf numFmtId="0" fontId="2" fillId="0" borderId="0" xfId="2" applyNumberFormat="1" applyFont="1"/>
    <xf numFmtId="43" fontId="2" fillId="0" borderId="0" xfId="2" applyNumberFormat="1" applyFont="1"/>
    <xf numFmtId="0" fontId="2" fillId="0" borderId="0" xfId="2" applyNumberFormat="1" applyFont="1"/>
    <xf numFmtId="0" fontId="2" fillId="0" borderId="0" xfId="2" applyNumberFormat="1" applyFont="1"/>
    <xf numFmtId="43" fontId="2" fillId="0" borderId="0" xfId="2" applyNumberFormat="1" applyFont="1"/>
    <xf numFmtId="43" fontId="2" fillId="0" borderId="0" xfId="2" applyNumberFormat="1" applyFont="1"/>
    <xf numFmtId="0" fontId="2" fillId="0" borderId="0" xfId="2" applyNumberFormat="1" applyFont="1"/>
    <xf numFmtId="43" fontId="2" fillId="0" borderId="0" xfId="2" applyNumberFormat="1" applyFont="1"/>
    <xf numFmtId="43" fontId="2" fillId="0" borderId="0" xfId="3" applyFont="1"/>
    <xf numFmtId="39" fontId="2" fillId="0" borderId="0" xfId="0" applyNumberFormat="1" applyFont="1"/>
    <xf numFmtId="0" fontId="2" fillId="0" borderId="0" xfId="0" applyFont="1"/>
    <xf numFmtId="0" fontId="2" fillId="0" borderId="0" xfId="0" applyNumberFormat="1" applyFont="1"/>
    <xf numFmtId="39" fontId="0" fillId="0" borderId="0" xfId="0" applyNumberFormat="1"/>
    <xf numFmtId="0" fontId="6" fillId="0" borderId="0" xfId="0" applyNumberFormat="1" applyFont="1"/>
    <xf numFmtId="39" fontId="6" fillId="0" borderId="0" xfId="0" applyNumberFormat="1" applyFont="1"/>
    <xf numFmtId="39" fontId="2" fillId="0" borderId="0" xfId="0" applyNumberFormat="1" applyFont="1" applyFill="1"/>
    <xf numFmtId="43" fontId="2" fillId="0" borderId="0" xfId="3" applyFont="1" applyFill="1"/>
    <xf numFmtId="0" fontId="0" fillId="0" borderId="0" xfId="0" applyFill="1" applyAlignment="1">
      <alignment horizontal="center"/>
    </xf>
    <xf numFmtId="10" fontId="0" fillId="0" borderId="0" xfId="1" applyNumberFormat="1" applyFont="1" applyFill="1" applyAlignment="1">
      <alignment horizontal="center"/>
    </xf>
    <xf numFmtId="39" fontId="0" fillId="0" borderId="0" xfId="0" applyNumberFormat="1" applyFont="1" applyFill="1"/>
    <xf numFmtId="0" fontId="2" fillId="0" borderId="0" xfId="0" applyFont="1" applyFill="1"/>
    <xf numFmtId="39" fontId="6" fillId="0" borderId="0" xfId="0" applyNumberFormat="1" applyFont="1" applyFill="1"/>
    <xf numFmtId="43" fontId="0" fillId="0" borderId="0" xfId="3" applyFont="1" applyFill="1"/>
    <xf numFmtId="0" fontId="0" fillId="0" borderId="0" xfId="0" applyNumberFormat="1" applyFont="1"/>
    <xf numFmtId="39" fontId="0" fillId="0" borderId="0" xfId="0" applyNumberFormat="1" applyFill="1"/>
    <xf numFmtId="39" fontId="2" fillId="0" borderId="0" xfId="2" applyNumberFormat="1" applyFont="1"/>
    <xf numFmtId="43" fontId="0" fillId="0" borderId="0" xfId="3" applyFont="1"/>
    <xf numFmtId="0" fontId="8" fillId="0" borderId="0" xfId="0" applyFont="1" applyFill="1"/>
    <xf numFmtId="0" fontId="0" fillId="0" borderId="0" xfId="0" applyFont="1" applyFill="1"/>
    <xf numFmtId="0" fontId="6" fillId="0" borderId="0" xfId="0" applyNumberFormat="1" applyFont="1" applyFill="1"/>
    <xf numFmtId="0" fontId="2" fillId="0" borderId="0" xfId="2" applyNumberFormat="1" applyFont="1" applyFill="1"/>
    <xf numFmtId="0" fontId="0" fillId="0" borderId="0" xfId="0" applyNumberFormat="1" applyFont="1" applyFill="1"/>
    <xf numFmtId="43" fontId="9" fillId="0" borderId="0" xfId="2" applyNumberFormat="1" applyFont="1" applyFill="1"/>
    <xf numFmtId="39" fontId="9" fillId="0" borderId="0" xfId="0" applyNumberFormat="1" applyFont="1" applyFill="1"/>
    <xf numFmtId="43" fontId="6" fillId="0" borderId="0" xfId="2" applyNumberFormat="1" applyFont="1" applyFill="1"/>
    <xf numFmtId="39" fontId="7" fillId="0" borderId="0" xfId="0" applyNumberFormat="1" applyFont="1" applyFill="1"/>
    <xf numFmtId="43" fontId="6" fillId="0" borderId="0" xfId="3" applyFont="1" applyFill="1"/>
    <xf numFmtId="43" fontId="4" fillId="0" borderId="0" xfId="3" applyFont="1" applyFill="1"/>
    <xf numFmtId="0" fontId="0" fillId="0" borderId="0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43" fontId="11" fillId="0" borderId="0" xfId="0" applyNumberFormat="1" applyFont="1" applyFill="1"/>
    <xf numFmtId="39" fontId="0" fillId="0" borderId="0" xfId="0" applyNumberFormat="1" applyFont="1"/>
    <xf numFmtId="39" fontId="11" fillId="0" borderId="0" xfId="0" applyNumberFormat="1" applyFont="1"/>
    <xf numFmtId="4" fontId="0" fillId="0" borderId="0" xfId="0" applyNumberFormat="1"/>
    <xf numFmtId="0" fontId="6" fillId="0" borderId="0" xfId="0" applyFont="1" applyFill="1"/>
    <xf numFmtId="0" fontId="6" fillId="0" borderId="0" xfId="0" applyFont="1"/>
    <xf numFmtId="43" fontId="6" fillId="0" borderId="0" xfId="0" applyNumberFormat="1" applyFont="1" applyBorder="1"/>
    <xf numFmtId="0" fontId="0" fillId="2" borderId="0" xfId="0" applyFill="1"/>
    <xf numFmtId="0" fontId="0" fillId="0" borderId="0" xfId="0" applyFill="1" applyBorder="1"/>
    <xf numFmtId="0" fontId="0" fillId="0" borderId="4" xfId="0" applyFill="1" applyBorder="1" applyAlignment="1">
      <alignment horizontal="center" wrapText="1"/>
    </xf>
    <xf numFmtId="43" fontId="2" fillId="0" borderId="0" xfId="0" applyNumberFormat="1" applyFont="1" applyFill="1" applyBorder="1"/>
    <xf numFmtId="0" fontId="0" fillId="0" borderId="0" xfId="0"/>
    <xf numFmtId="0" fontId="13" fillId="0" borderId="0" xfId="0" applyFont="1"/>
    <xf numFmtId="0" fontId="12" fillId="3" borderId="1" xfId="0" applyFont="1" applyFill="1" applyBorder="1"/>
    <xf numFmtId="0" fontId="12" fillId="3" borderId="1" xfId="0" applyFont="1" applyFill="1" applyBorder="1" applyAlignment="1">
      <alignment horizontal="center"/>
    </xf>
    <xf numFmtId="43" fontId="12" fillId="3" borderId="1" xfId="0" applyNumberFormat="1" applyFont="1" applyFill="1" applyBorder="1" applyAlignment="1">
      <alignment horizontal="center"/>
    </xf>
    <xf numFmtId="0" fontId="12" fillId="0" borderId="1" xfId="0" applyFont="1" applyBorder="1"/>
    <xf numFmtId="0" fontId="12" fillId="0" borderId="1" xfId="0" applyFont="1" applyBorder="1" applyAlignment="1">
      <alignment horizontal="center"/>
    </xf>
    <xf numFmtId="0" fontId="12" fillId="4" borderId="1" xfId="0" applyFont="1" applyFill="1" applyBorder="1"/>
    <xf numFmtId="0" fontId="12" fillId="4" borderId="1" xfId="0" applyFont="1" applyFill="1" applyBorder="1" applyAlignment="1">
      <alignment horizontal="center"/>
    </xf>
    <xf numFmtId="165" fontId="12" fillId="4" borderId="2" xfId="0" applyNumberFormat="1" applyFont="1" applyFill="1" applyBorder="1"/>
    <xf numFmtId="0" fontId="12" fillId="4" borderId="0" xfId="0" applyFont="1" applyFill="1"/>
    <xf numFmtId="9" fontId="12" fillId="4" borderId="2" xfId="1" applyFont="1" applyFill="1" applyBorder="1"/>
    <xf numFmtId="165" fontId="12" fillId="4" borderId="8" xfId="0" applyNumberFormat="1" applyFont="1" applyFill="1" applyBorder="1"/>
    <xf numFmtId="0" fontId="12" fillId="0" borderId="0" xfId="0" applyFont="1"/>
    <xf numFmtId="0" fontId="13" fillId="3" borderId="0" xfId="0" applyFont="1" applyFill="1"/>
    <xf numFmtId="43" fontId="13" fillId="3" borderId="0" xfId="0" applyNumberFormat="1" applyFont="1" applyFill="1"/>
    <xf numFmtId="43" fontId="13" fillId="3" borderId="2" xfId="0" applyNumberFormat="1" applyFont="1" applyFill="1" applyBorder="1"/>
    <xf numFmtId="43" fontId="13" fillId="0" borderId="0" xfId="0" applyNumberFormat="1" applyFont="1"/>
    <xf numFmtId="164" fontId="13" fillId="0" borderId="0" xfId="0" applyNumberFormat="1" applyFont="1"/>
    <xf numFmtId="164" fontId="13" fillId="0" borderId="2" xfId="0" applyNumberFormat="1" applyFont="1" applyBorder="1"/>
    <xf numFmtId="39" fontId="13" fillId="0" borderId="0" xfId="0" applyNumberFormat="1" applyFont="1"/>
    <xf numFmtId="41" fontId="13" fillId="0" borderId="0" xfId="3" applyNumberFormat="1" applyFont="1" applyFill="1"/>
    <xf numFmtId="164" fontId="13" fillId="0" borderId="0" xfId="3" applyNumberFormat="1" applyFont="1" applyFill="1"/>
    <xf numFmtId="0" fontId="13" fillId="4" borderId="0" xfId="0" applyFont="1" applyFill="1"/>
    <xf numFmtId="165" fontId="13" fillId="4" borderId="0" xfId="0" applyNumberFormat="1" applyFont="1" applyFill="1"/>
    <xf numFmtId="9" fontId="13" fillId="4" borderId="0" xfId="1" applyFont="1" applyFill="1"/>
    <xf numFmtId="9" fontId="13" fillId="0" borderId="0" xfId="1" applyFont="1"/>
    <xf numFmtId="43" fontId="13" fillId="0" borderId="0" xfId="0" applyNumberFormat="1" applyFont="1" applyFill="1"/>
    <xf numFmtId="39" fontId="13" fillId="0" borderId="0" xfId="0" applyNumberFormat="1" applyFont="1" applyFill="1"/>
    <xf numFmtId="0" fontId="14" fillId="0" borderId="0" xfId="0" applyFont="1"/>
  </cellXfs>
  <cellStyles count="5">
    <cellStyle name="Comma" xfId="3" builtinId="3"/>
    <cellStyle name="Normal" xfId="0" builtinId="0"/>
    <cellStyle name="Normal 2" xfId="2" xr:uid="{00000000-0005-0000-0000-000002000000}"/>
    <cellStyle name="Normal 3" xfId="4" xr:uid="{7C83A499-8619-46F9-9DEA-FE76959685E2}"/>
    <cellStyle name="Percent" xfId="1" builtinId="5"/>
  </cellStyles>
  <dxfs count="0"/>
  <tableStyles count="0" defaultTableStyle="TableStyleMedium2" defaultPivotStyle="PivotStyleLight16"/>
  <colors>
    <mruColors>
      <color rgb="FFFF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6.xml"/><Relationship Id="rId13" Type="http://schemas.openxmlformats.org/officeDocument/2006/relationships/worksheet" Target="worksheets/sheet11.xml"/><Relationship Id="rId18" Type="http://schemas.openxmlformats.org/officeDocument/2006/relationships/calcChain" Target="calcChain.xml"/><Relationship Id="rId3" Type="http://schemas.openxmlformats.org/officeDocument/2006/relationships/chartsheet" Target="chartsheets/sheet2.xml"/><Relationship Id="rId21" Type="http://schemas.openxmlformats.org/officeDocument/2006/relationships/customXml" Target="../customXml/item3.xml"/><Relationship Id="rId7" Type="http://schemas.openxmlformats.org/officeDocument/2006/relationships/worksheet" Target="worksheets/sheet5.xml"/><Relationship Id="rId12" Type="http://schemas.openxmlformats.org/officeDocument/2006/relationships/worksheet" Target="worksheets/sheet10.xml"/><Relationship Id="rId1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styles" Target="styles.xml"/><Relationship Id="rId20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worksheet" Target="worksheets/sheet9.xml"/><Relationship Id="rId5" Type="http://schemas.openxmlformats.org/officeDocument/2006/relationships/worksheet" Target="worksheets/sheet3.xml"/><Relationship Id="rId15" Type="http://schemas.openxmlformats.org/officeDocument/2006/relationships/theme" Target="theme/theme1.xml"/><Relationship Id="rId10" Type="http://schemas.openxmlformats.org/officeDocument/2006/relationships/worksheet" Target="worksheets/sheet8.xml"/><Relationship Id="rId19" Type="http://schemas.openxmlformats.org/officeDocument/2006/relationships/customXml" Target="../customXml/item1.xml"/><Relationship Id="rId4" Type="http://schemas.openxmlformats.org/officeDocument/2006/relationships/worksheet" Target="worksheets/sheet2.xml"/><Relationship Id="rId9" Type="http://schemas.openxmlformats.org/officeDocument/2006/relationships/worksheet" Target="worksheets/sheet7.xml"/><Relationship Id="rId14" Type="http://schemas.openxmlformats.org/officeDocument/2006/relationships/worksheet" Target="worksheets/sheet12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Program Expense by Fiscal Year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'Summary FY 2010 - FY 2021'!$A$106</c:f>
              <c:strCache>
                <c:ptCount val="1"/>
                <c:pt idx="0">
                  <c:v>Academic Affairs (1.0, 2.0, 3.0)</c:v>
                </c:pt>
              </c:strCache>
            </c:strRef>
          </c:tx>
          <c:spPr>
            <a:ln w="31750" cap="rnd">
              <a:solidFill>
                <a:srgbClr val="00B0F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2021'!$B$106:$M$106</c:f>
              <c:numCache>
                <c:formatCode>_("$"* #,##0_);_("$"* \(#,##0\);_("$"* "-"??_);_(@_)</c:formatCode>
                <c:ptCount val="12"/>
                <c:pt idx="0">
                  <c:v>67140710.420000002</c:v>
                </c:pt>
                <c:pt idx="1">
                  <c:v>72957040.189999998</c:v>
                </c:pt>
                <c:pt idx="2">
                  <c:v>74410036.349999994</c:v>
                </c:pt>
                <c:pt idx="3">
                  <c:v>80222714.990000024</c:v>
                </c:pt>
                <c:pt idx="4">
                  <c:v>86685173.38000001</c:v>
                </c:pt>
                <c:pt idx="5">
                  <c:v>95521838.459999979</c:v>
                </c:pt>
                <c:pt idx="6">
                  <c:v>97189784.849999994</c:v>
                </c:pt>
                <c:pt idx="7">
                  <c:v>97363826.590000004</c:v>
                </c:pt>
                <c:pt idx="8">
                  <c:v>96069633.929999992</c:v>
                </c:pt>
                <c:pt idx="9">
                  <c:v>99184720.429999992</c:v>
                </c:pt>
                <c:pt idx="10">
                  <c:v>99695308.23999998</c:v>
                </c:pt>
                <c:pt idx="11">
                  <c:v>99366986.680000022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812-434D-8BC9-F1C0107D914F}"/>
            </c:ext>
          </c:extLst>
        </c:ser>
        <c:ser>
          <c:idx val="1"/>
          <c:order val="1"/>
          <c:tx>
            <c:strRef>
              <c:f>'Summary FY 2010 - FY 2021'!$A$107</c:f>
              <c:strCache>
                <c:ptCount val="1"/>
                <c:pt idx="0">
                  <c:v>Academic Support Expenditures (4.0)</c:v>
                </c:pt>
              </c:strCache>
            </c:strRef>
          </c:tx>
          <c:spPr>
            <a:ln w="31750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2021'!$B$107:$M$107</c:f>
              <c:numCache>
                <c:formatCode>_("$"* #,##0_);_("$"* \(#,##0\);_("$"* "-"??_);_(@_)</c:formatCode>
                <c:ptCount val="12"/>
                <c:pt idx="0">
                  <c:v>17459339.050000004</c:v>
                </c:pt>
                <c:pt idx="1">
                  <c:v>17739703.390000001</c:v>
                </c:pt>
                <c:pt idx="2">
                  <c:v>17667272.84</c:v>
                </c:pt>
                <c:pt idx="3">
                  <c:v>13661083.379999999</c:v>
                </c:pt>
                <c:pt idx="4">
                  <c:v>16645075.6</c:v>
                </c:pt>
                <c:pt idx="5">
                  <c:v>18530549.850000001</c:v>
                </c:pt>
                <c:pt idx="6">
                  <c:v>18425044.25</c:v>
                </c:pt>
                <c:pt idx="7">
                  <c:v>18624562.379999999</c:v>
                </c:pt>
                <c:pt idx="8">
                  <c:v>18056207.530000001</c:v>
                </c:pt>
                <c:pt idx="9">
                  <c:v>22168998.07</c:v>
                </c:pt>
                <c:pt idx="10">
                  <c:v>20889712.390000001</c:v>
                </c:pt>
                <c:pt idx="11">
                  <c:v>15290819.51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812-434D-8BC9-F1C0107D914F}"/>
            </c:ext>
          </c:extLst>
        </c:ser>
        <c:ser>
          <c:idx val="2"/>
          <c:order val="2"/>
          <c:tx>
            <c:strRef>
              <c:f>'Summary FY 2010 - FY 2021'!$A$108</c:f>
              <c:strCache>
                <c:ptCount val="1"/>
                <c:pt idx="0">
                  <c:v>Student Services Expenditures (5.0)</c:v>
                </c:pt>
              </c:strCache>
            </c:strRef>
          </c:tx>
          <c:spPr>
            <a:ln w="31750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2021'!$B$108:$M$108</c:f>
              <c:numCache>
                <c:formatCode>_("$"* #,##0_);_("$"* \(#,##0\);_("$"* "-"??_);_(@_)</c:formatCode>
                <c:ptCount val="12"/>
                <c:pt idx="0">
                  <c:v>18823046.079999998</c:v>
                </c:pt>
                <c:pt idx="1">
                  <c:v>20178976.48</c:v>
                </c:pt>
                <c:pt idx="2">
                  <c:v>20221054.830000002</c:v>
                </c:pt>
                <c:pt idx="3">
                  <c:v>21046668.809999995</c:v>
                </c:pt>
                <c:pt idx="4">
                  <c:v>22626580.339999996</c:v>
                </c:pt>
                <c:pt idx="5">
                  <c:v>24146382.910000004</c:v>
                </c:pt>
                <c:pt idx="6">
                  <c:v>25300647.669999998</c:v>
                </c:pt>
                <c:pt idx="7">
                  <c:v>25248782.910000004</c:v>
                </c:pt>
                <c:pt idx="8">
                  <c:v>25781099.57</c:v>
                </c:pt>
                <c:pt idx="9">
                  <c:v>26213972.800000001</c:v>
                </c:pt>
                <c:pt idx="10">
                  <c:v>31325949.580000002</c:v>
                </c:pt>
                <c:pt idx="11">
                  <c:v>26678739.359999999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812-434D-8BC9-F1C0107D914F}"/>
            </c:ext>
          </c:extLst>
        </c:ser>
        <c:ser>
          <c:idx val="3"/>
          <c:order val="3"/>
          <c:tx>
            <c:strRef>
              <c:f>'Summary FY 2010 - FY 2021'!$A$109</c:f>
              <c:strCache>
                <c:ptCount val="1"/>
                <c:pt idx="0">
                  <c:v>Institutional Support Expenditures (6.0)</c:v>
                </c:pt>
              </c:strCache>
            </c:strRef>
          </c:tx>
          <c:spPr>
            <a:ln w="31750" cap="rnd">
              <a:solidFill>
                <a:srgbClr val="B6A6CA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2021'!$B$109:$M$109</c:f>
              <c:numCache>
                <c:formatCode>_("$"* #,##0_);_("$"* \(#,##0\);_("$"* "-"??_);_(@_)</c:formatCode>
                <c:ptCount val="12"/>
                <c:pt idx="0">
                  <c:v>24597496.209999997</c:v>
                </c:pt>
                <c:pt idx="1">
                  <c:v>25461402.909999996</c:v>
                </c:pt>
                <c:pt idx="2">
                  <c:v>24152542.330000002</c:v>
                </c:pt>
                <c:pt idx="3">
                  <c:v>25270316.240000002</c:v>
                </c:pt>
                <c:pt idx="4">
                  <c:v>27773829.669999998</c:v>
                </c:pt>
                <c:pt idx="5">
                  <c:v>30061928.060000002</c:v>
                </c:pt>
                <c:pt idx="6">
                  <c:v>30822903.689999998</c:v>
                </c:pt>
                <c:pt idx="7">
                  <c:v>29580186.079999998</c:v>
                </c:pt>
                <c:pt idx="8">
                  <c:v>29956860.120000001</c:v>
                </c:pt>
                <c:pt idx="9">
                  <c:v>27437782.770000003</c:v>
                </c:pt>
                <c:pt idx="10">
                  <c:v>27265215.039999992</c:v>
                </c:pt>
                <c:pt idx="11">
                  <c:v>30390817.810000002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812-434D-8BC9-F1C0107D914F}"/>
            </c:ext>
          </c:extLst>
        </c:ser>
        <c:ser>
          <c:idx val="6"/>
          <c:order val="4"/>
          <c:tx>
            <c:strRef>
              <c:f>'Summary FY 2010 - FY 2021'!$A$112</c:f>
              <c:strCache>
                <c:ptCount val="1"/>
                <c:pt idx="0">
                  <c:v>Operations &amp; Maint. of Plant Expenditures (7.0)</c:v>
                </c:pt>
              </c:strCache>
            </c:strRef>
          </c:tx>
          <c:spPr>
            <a:ln w="31750" cap="rnd">
              <a:solidFill>
                <a:schemeClr val="accent1">
                  <a:lumMod val="75000"/>
                </a:schemeClr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2021'!$B$112:$M$112</c:f>
              <c:numCache>
                <c:formatCode>_("$"* #,##0_);_("$"* \(#,##0\);_("$"* "-"??_);_(@_)</c:formatCode>
                <c:ptCount val="12"/>
                <c:pt idx="0">
                  <c:v>22302596.630000006</c:v>
                </c:pt>
                <c:pt idx="1">
                  <c:v>24241281.980000004</c:v>
                </c:pt>
                <c:pt idx="2">
                  <c:v>19328792.040000003</c:v>
                </c:pt>
                <c:pt idx="3">
                  <c:v>21251269.290000007</c:v>
                </c:pt>
                <c:pt idx="4">
                  <c:v>21376024.860000007</c:v>
                </c:pt>
                <c:pt idx="5">
                  <c:v>22656272.570000008</c:v>
                </c:pt>
                <c:pt idx="6">
                  <c:v>28214349.029999997</c:v>
                </c:pt>
                <c:pt idx="7">
                  <c:v>29079032.100000009</c:v>
                </c:pt>
                <c:pt idx="8">
                  <c:v>34383494.960000001</c:v>
                </c:pt>
                <c:pt idx="9">
                  <c:v>49093036.869999997</c:v>
                </c:pt>
                <c:pt idx="10">
                  <c:v>47121903.070000008</c:v>
                </c:pt>
                <c:pt idx="11">
                  <c:v>46619087.620000005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812-434D-8BC9-F1C0107D914F}"/>
            </c:ext>
          </c:extLst>
        </c:ser>
        <c:ser>
          <c:idx val="4"/>
          <c:order val="5"/>
          <c:tx>
            <c:strRef>
              <c:f>'Summary FY 2010 - FY 2021'!$A$110</c:f>
              <c:strCache>
                <c:ptCount val="1"/>
                <c:pt idx="0">
                  <c:v>Scholarships Expenditures (8.0)</c:v>
                </c:pt>
              </c:strCache>
            </c:strRef>
          </c:tx>
          <c:spPr>
            <a:ln w="31750" cap="rnd">
              <a:solidFill>
                <a:srgbClr val="FFFF00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2021'!$B$110:$M$110</c:f>
              <c:numCache>
                <c:formatCode>_("$"* #,##0_);_("$"* \(#,##0\);_("$"* "-"??_);_(@_)</c:formatCode>
                <c:ptCount val="12"/>
                <c:pt idx="0">
                  <c:v>25004892.710000001</c:v>
                </c:pt>
                <c:pt idx="1">
                  <c:v>23802106.41</c:v>
                </c:pt>
                <c:pt idx="2">
                  <c:v>20883682.18</c:v>
                </c:pt>
                <c:pt idx="3">
                  <c:v>21356359.559999999</c:v>
                </c:pt>
                <c:pt idx="4">
                  <c:v>21777987.050000001</c:v>
                </c:pt>
                <c:pt idx="5">
                  <c:v>24229943.149999999</c:v>
                </c:pt>
                <c:pt idx="6">
                  <c:v>24675054.16</c:v>
                </c:pt>
                <c:pt idx="7">
                  <c:v>23705778.600000001</c:v>
                </c:pt>
                <c:pt idx="8">
                  <c:v>27360490.239999998</c:v>
                </c:pt>
                <c:pt idx="9">
                  <c:v>27222072.720000003</c:v>
                </c:pt>
                <c:pt idx="10">
                  <c:v>30628313.549999993</c:v>
                </c:pt>
                <c:pt idx="11">
                  <c:v>31476155.949999996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812-434D-8BC9-F1C0107D914F}"/>
            </c:ext>
          </c:extLst>
        </c:ser>
        <c:ser>
          <c:idx val="5"/>
          <c:order val="6"/>
          <c:tx>
            <c:strRef>
              <c:f>'Summary FY 2010 - FY 2021'!$A$111</c:f>
              <c:strCache>
                <c:ptCount val="1"/>
                <c:pt idx="0">
                  <c:v>Auxiliary Enterprises Expenditures (9.0)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2021'!$B$105:$M$105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2021'!$B$111:$M$111</c:f>
              <c:numCache>
                <c:formatCode>_("$"* #,##0_);_("$"* \(#,##0\);_("$"* "-"??_);_(@_)</c:formatCode>
                <c:ptCount val="12"/>
                <c:pt idx="0">
                  <c:v>9974924.0199999958</c:v>
                </c:pt>
                <c:pt idx="1">
                  <c:v>10179926.699999999</c:v>
                </c:pt>
                <c:pt idx="2">
                  <c:v>10183138.450000003</c:v>
                </c:pt>
                <c:pt idx="3">
                  <c:v>10573184.350000003</c:v>
                </c:pt>
                <c:pt idx="4">
                  <c:v>10964133.360000005</c:v>
                </c:pt>
                <c:pt idx="5">
                  <c:v>11263998.990000002</c:v>
                </c:pt>
                <c:pt idx="6">
                  <c:v>12432194.23</c:v>
                </c:pt>
                <c:pt idx="7">
                  <c:v>12397523.93</c:v>
                </c:pt>
                <c:pt idx="8">
                  <c:v>10707515.220000001</c:v>
                </c:pt>
                <c:pt idx="9">
                  <c:v>11160527.710000003</c:v>
                </c:pt>
                <c:pt idx="10">
                  <c:v>6479406.0999999978</c:v>
                </c:pt>
                <c:pt idx="11">
                  <c:v>8252684.2800000003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E812-434D-8BC9-F1C0107D91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610728"/>
        <c:axId val="619611120"/>
      </c:lineChart>
      <c:catAx>
        <c:axId val="6196107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611120"/>
        <c:crosses val="autoZero"/>
        <c:auto val="1"/>
        <c:lblAlgn val="ctr"/>
        <c:lblOffset val="100"/>
        <c:noMultiLvlLbl val="0"/>
      </c:catAx>
      <c:valAx>
        <c:axId val="619611120"/>
        <c:scaling>
          <c:orientation val="minMax"/>
          <c:max val="100000000"/>
          <c:min val="5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610728"/>
        <c:crosses val="autoZero"/>
        <c:crossBetween val="midCat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Category Expense by Fiscal Year</a:t>
            </a:r>
          </a:p>
        </c:rich>
      </c:tx>
      <c:layout>
        <c:manualLayout>
          <c:xMode val="edge"/>
          <c:yMode val="edge"/>
          <c:x val="0.34221352588984522"/>
          <c:y val="4.041497588069244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320612267292231"/>
          <c:y val="8.9840780446098889E-2"/>
          <c:w val="0.85183630393347476"/>
          <c:h val="0.80238997362931619"/>
        </c:manualLayout>
      </c:layout>
      <c:lineChart>
        <c:grouping val="standard"/>
        <c:varyColors val="0"/>
        <c:ser>
          <c:idx val="0"/>
          <c:order val="0"/>
          <c:tx>
            <c:strRef>
              <c:f>'Summary FY 2010 - FY 2021'!$A$93</c:f>
              <c:strCache>
                <c:ptCount val="1"/>
                <c:pt idx="0">
                  <c:v>Personal Services</c:v>
                </c:pt>
              </c:strCache>
            </c:strRef>
          </c:tx>
          <c:spPr>
            <a:ln w="31750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2021'!$B$92:$M$92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2021'!$B$93:$M$93</c:f>
              <c:numCache>
                <c:formatCode>_("$"* #,##0_);_("$"* \(#,##0\);_("$"* "-"??_);_(@_)</c:formatCode>
                <c:ptCount val="12"/>
                <c:pt idx="0">
                  <c:v>85414457.390000001</c:v>
                </c:pt>
                <c:pt idx="1">
                  <c:v>90679687.199999988</c:v>
                </c:pt>
                <c:pt idx="2">
                  <c:v>91979248.890000001</c:v>
                </c:pt>
                <c:pt idx="3">
                  <c:v>91311190.960000008</c:v>
                </c:pt>
                <c:pt idx="4">
                  <c:v>95313126.23999998</c:v>
                </c:pt>
                <c:pt idx="5">
                  <c:v>104862959.45999999</c:v>
                </c:pt>
                <c:pt idx="6">
                  <c:v>104357111.36999999</c:v>
                </c:pt>
                <c:pt idx="7">
                  <c:v>103510957.29000001</c:v>
                </c:pt>
                <c:pt idx="8">
                  <c:v>100099072.48</c:v>
                </c:pt>
                <c:pt idx="9">
                  <c:v>103072181.85999998</c:v>
                </c:pt>
                <c:pt idx="10">
                  <c:v>105820472.73999999</c:v>
                </c:pt>
                <c:pt idx="11">
                  <c:v>104289845.32000002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BA7-4B30-8609-0E368C229638}"/>
            </c:ext>
          </c:extLst>
        </c:ser>
        <c:ser>
          <c:idx val="1"/>
          <c:order val="1"/>
          <c:tx>
            <c:strRef>
              <c:f>'Summary FY 2010 - FY 2021'!$A$94</c:f>
              <c:strCache>
                <c:ptCount val="1"/>
                <c:pt idx="0">
                  <c:v>Fringe</c:v>
                </c:pt>
              </c:strCache>
            </c:strRef>
          </c:tx>
          <c:spPr>
            <a:ln w="31750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2021'!$B$92:$M$92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2021'!$B$94:$M$94</c:f>
              <c:numCache>
                <c:formatCode>_("$"* #,##0_);_("$"* \(#,##0\);_("$"* "-"??_);_(@_)</c:formatCode>
                <c:ptCount val="12"/>
                <c:pt idx="0">
                  <c:v>32175789.049999997</c:v>
                </c:pt>
                <c:pt idx="1">
                  <c:v>34008590.559999995</c:v>
                </c:pt>
                <c:pt idx="2">
                  <c:v>34878353.359999999</c:v>
                </c:pt>
                <c:pt idx="3">
                  <c:v>40056724.980000004</c:v>
                </c:pt>
                <c:pt idx="4">
                  <c:v>48372003.960000001</c:v>
                </c:pt>
                <c:pt idx="5">
                  <c:v>53381006.779999994</c:v>
                </c:pt>
                <c:pt idx="6">
                  <c:v>57261550.219999999</c:v>
                </c:pt>
                <c:pt idx="7">
                  <c:v>58566007.56000001</c:v>
                </c:pt>
                <c:pt idx="8">
                  <c:v>59247191.420000002</c:v>
                </c:pt>
                <c:pt idx="9">
                  <c:v>64720367.299999997</c:v>
                </c:pt>
                <c:pt idx="10">
                  <c:v>67831749.549999997</c:v>
                </c:pt>
                <c:pt idx="11">
                  <c:v>70693372.489999995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BA7-4B30-8609-0E368C229638}"/>
            </c:ext>
          </c:extLst>
        </c:ser>
        <c:ser>
          <c:idx val="2"/>
          <c:order val="2"/>
          <c:tx>
            <c:strRef>
              <c:f>'Summary FY 2010 - FY 2021'!$A$95</c:f>
              <c:strCache>
                <c:ptCount val="1"/>
                <c:pt idx="0">
                  <c:v>Other Expenses</c:v>
                </c:pt>
              </c:strCache>
            </c:strRef>
          </c:tx>
          <c:spPr>
            <a:ln w="31750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strRef>
              <c:f>'Summary FY 2010 - FY 2021'!$B$92:$M$92</c:f>
              <c:strCache>
                <c:ptCount val="12"/>
                <c:pt idx="0">
                  <c:v>FY 2010</c:v>
                </c:pt>
                <c:pt idx="1">
                  <c:v>FY 2011</c:v>
                </c:pt>
                <c:pt idx="2">
                  <c:v>FY 2012</c:v>
                </c:pt>
                <c:pt idx="3">
                  <c:v>FY 2013</c:v>
                </c:pt>
                <c:pt idx="4">
                  <c:v>FY 2014</c:v>
                </c:pt>
                <c:pt idx="5">
                  <c:v>FY 2015</c:v>
                </c:pt>
                <c:pt idx="6">
                  <c:v>FY 2016</c:v>
                </c:pt>
                <c:pt idx="7">
                  <c:v>FY 2017</c:v>
                </c:pt>
                <c:pt idx="8">
                  <c:v>FY 2018</c:v>
                </c:pt>
                <c:pt idx="9">
                  <c:v>FY 2019</c:v>
                </c:pt>
                <c:pt idx="10">
                  <c:v>FY 2020</c:v>
                </c:pt>
                <c:pt idx="11">
                  <c:v>FY 2021</c:v>
                </c:pt>
              </c:strCache>
            </c:strRef>
          </c:cat>
          <c:val>
            <c:numRef>
              <c:f>'Summary FY 2010 - FY 2021'!$B$95:$M$95</c:f>
              <c:numCache>
                <c:formatCode>_("$"* #,##0_);_("$"* \(#,##0\);_("$"* "-"??_);_(@_)</c:formatCode>
                <c:ptCount val="12"/>
                <c:pt idx="0">
                  <c:v>67712758.680000007</c:v>
                </c:pt>
                <c:pt idx="1">
                  <c:v>69872160.300000012</c:v>
                </c:pt>
                <c:pt idx="2">
                  <c:v>59988916.770000003</c:v>
                </c:pt>
                <c:pt idx="3">
                  <c:v>62013680.680000007</c:v>
                </c:pt>
                <c:pt idx="4">
                  <c:v>64163674.060000017</c:v>
                </c:pt>
                <c:pt idx="5">
                  <c:v>68166947.750000015</c:v>
                </c:pt>
                <c:pt idx="6">
                  <c:v>75441316.289999992</c:v>
                </c:pt>
                <c:pt idx="7">
                  <c:v>73922727.74000001</c:v>
                </c:pt>
                <c:pt idx="8">
                  <c:v>82969037.670000002</c:v>
                </c:pt>
                <c:pt idx="9">
                  <c:v>94688562.210000008</c:v>
                </c:pt>
                <c:pt idx="10">
                  <c:v>89753585.680000007</c:v>
                </c:pt>
                <c:pt idx="11">
                  <c:v>83092073.399999991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BA7-4B30-8609-0E368C22963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619611904"/>
        <c:axId val="619612296"/>
      </c:lineChart>
      <c:catAx>
        <c:axId val="6196119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Fiscal Year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612296"/>
        <c:crosses val="autoZero"/>
        <c:auto val="1"/>
        <c:lblAlgn val="ctr"/>
        <c:lblOffset val="100"/>
        <c:noMultiLvlLbl val="0"/>
      </c:catAx>
      <c:valAx>
        <c:axId val="619612296"/>
        <c:scaling>
          <c:orientation val="minMax"/>
          <c:min val="30000000"/>
        </c:scaling>
        <c:delete val="0"/>
        <c:axPos val="l"/>
        <c:majorGridlines>
          <c:spPr>
            <a:ln w="9525" cap="flat" cmpd="sng" algn="ctr">
              <a:solidFill>
                <a:schemeClr val="tx2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900" b="1" i="0" u="none" strike="noStrike" kern="1200" baseline="0">
                    <a:solidFill>
                      <a:schemeClr val="tx2"/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Total Expenses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900" b="1" i="0" u="none" strike="noStrike" kern="1200" baseline="0">
                  <a:solidFill>
                    <a:schemeClr val="tx2"/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_(&quot;$&quot;* #,##0_);_(&quot;$&quot;* \(#,##0\);_(&quot;$&quot;* &quot;-&quot;??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619611904"/>
        <c:crosses val="autoZero"/>
        <c:crossBetween val="midCat"/>
        <c:majorUnit val="5000000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tx2"/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FY 2010</a:t>
            </a:r>
          </a:p>
        </c:rich>
      </c:tx>
      <c:layout>
        <c:manualLayout>
          <c:xMode val="edge"/>
          <c:yMode val="edge"/>
          <c:x val="0.8209093960697057"/>
          <c:y val="2.693602376214477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'Summary FY 2010 - FY 2021'!$B$105</c:f>
              <c:strCache>
                <c:ptCount val="1"/>
                <c:pt idx="0">
                  <c:v>FY 2010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79C1-44E2-A6D5-CB75A6EEC1E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79C1-44E2-A6D5-CB75A6EEC1E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79C1-44E2-A6D5-CB75A6EEC1E1}"/>
              </c:ext>
            </c:extLst>
          </c:dPt>
          <c:dPt>
            <c:idx val="3"/>
            <c:bubble3D val="0"/>
            <c:spPr>
              <a:solidFill>
                <a:srgbClr val="B6A6C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79C1-44E2-A6D5-CB75A6EEC1E1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79C1-44E2-A6D5-CB75A6EEC1E1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79C1-44E2-A6D5-CB75A6EEC1E1}"/>
              </c:ext>
            </c:extLst>
          </c:dPt>
          <c:dPt>
            <c:idx val="6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79C1-44E2-A6D5-CB75A6EEC1E1}"/>
              </c:ext>
            </c:extLst>
          </c:dPt>
          <c:dPt>
            <c:idx val="7"/>
            <c:bubble3D val="0"/>
            <c:spPr>
              <a:gradFill rotWithShape="1">
                <a:gsLst>
                  <a:gs pos="0">
                    <a:schemeClr val="accent2">
                      <a:lumMod val="60000"/>
                      <a:shade val="51000"/>
                      <a:satMod val="130000"/>
                    </a:schemeClr>
                  </a:gs>
                  <a:gs pos="80000">
                    <a:schemeClr val="accent2">
                      <a:lumMod val="60000"/>
                      <a:shade val="93000"/>
                      <a:satMod val="130000"/>
                    </a:schemeClr>
                  </a:gs>
                  <a:gs pos="100000">
                    <a:schemeClr val="accent2">
                      <a:lumMod val="60000"/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F-79C1-44E2-A6D5-CB75A6EEC1E1}"/>
              </c:ext>
            </c:extLst>
          </c:dPt>
          <c:dLbls>
            <c:dLbl>
              <c:idx val="0"/>
              <c:layout>
                <c:manualLayout>
                  <c:x val="-9.2236208003690756E-2"/>
                  <c:y val="-0.17010259343548051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5841"/>
                        <a:gd name="adj2" fmla="val 187629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1-79C1-44E2-A6D5-CB75A6EEC1E1}"/>
                </c:ext>
              </c:extLst>
            </c:dLbl>
            <c:dLbl>
              <c:idx val="1"/>
              <c:layout>
                <c:manualLayout>
                  <c:x val="2.3929401936396904E-2"/>
                  <c:y val="-1.1775000304250995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727514167617409"/>
                      <c:h val="8.28724539262576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79C1-44E2-A6D5-CB75A6EEC1E1}"/>
                </c:ext>
              </c:extLst>
            </c:dLbl>
            <c:dLbl>
              <c:idx val="2"/>
              <c:layout>
                <c:manualLayout>
                  <c:x val="-0.11031084594235696"/>
                  <c:y val="-5.1519023800542657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3720949370639832"/>
                      <c:h val="8.081166052079656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79C1-44E2-A6D5-CB75A6EEC1E1}"/>
                </c:ext>
              </c:extLst>
            </c:dLbl>
            <c:dLbl>
              <c:idx val="3"/>
              <c:layout>
                <c:manualLayout>
                  <c:x val="-6.8191220752987836E-2"/>
                  <c:y val="-6.579123513733900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546667414791678"/>
                      <c:h val="8.306263108147028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79C1-44E2-A6D5-CB75A6EEC1E1}"/>
                </c:ext>
              </c:extLst>
            </c:dLbl>
            <c:dLbl>
              <c:idx val="4"/>
              <c:layout>
                <c:manualLayout>
                  <c:x val="-1.259911097811111E-2"/>
                  <c:y val="2.8437326323390386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057331313395799"/>
                      <c:h val="8.4933247331718767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79C1-44E2-A6D5-CB75A6EEC1E1}"/>
                </c:ext>
              </c:extLst>
            </c:dLbl>
            <c:dLbl>
              <c:idx val="5"/>
              <c:layout>
                <c:manualLayout>
                  <c:x val="-5.8720332167505225E-2"/>
                  <c:y val="-3.5549606657083281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18518587789353"/>
                      <c:h val="8.10018158606307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79C1-44E2-A6D5-CB75A6EEC1E1}"/>
                </c:ext>
              </c:extLst>
            </c:dLbl>
            <c:dLbl>
              <c:idx val="6"/>
              <c:layout>
                <c:manualLayout>
                  <c:x val="0.1603908702588647"/>
                  <c:y val="-3.994500687414073E-2"/>
                </c:manualLayout>
              </c:layout>
              <c:spPr>
                <a:xfrm>
                  <a:off x="2808939" y="215388"/>
                  <a:ext cx="1339858" cy="492095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41724"/>
                        <a:gd name="adj2" fmla="val 124999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7238670581854229"/>
                      <c:h val="7.6880250865086999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D-79C1-44E2-A6D5-CB75A6EEC1E1}"/>
                </c:ext>
              </c:extLst>
            </c:dLbl>
            <c:dLbl>
              <c:idx val="7"/>
              <c:layout>
                <c:manualLayout>
                  <c:x val="0.13641900121802675"/>
                  <c:y val="-2.693602376214478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9C1-44E2-A6D5-CB75A6EEC1E1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'Summary FY 2010 - FY 2021'!$A$106:$A$112</c:f>
              <c:strCache>
                <c:ptCount val="7"/>
                <c:pt idx="0">
                  <c:v>Academic Affairs (1.0, 2.0, 3.0)</c:v>
                </c:pt>
                <c:pt idx="1">
                  <c:v>Academic Support Expenditures (4.0)</c:v>
                </c:pt>
                <c:pt idx="2">
                  <c:v>Student Services Expenditures (5.0)</c:v>
                </c:pt>
                <c:pt idx="3">
                  <c:v>Institutional Support Expenditures (6.0)</c:v>
                </c:pt>
                <c:pt idx="4">
                  <c:v>Scholarships Expenditures (8.0)</c:v>
                </c:pt>
                <c:pt idx="5">
                  <c:v>Auxiliary Enterprises Expenditures (9.0)</c:v>
                </c:pt>
                <c:pt idx="6">
                  <c:v>Operations &amp; Maint. of Plant Expenditures (7.0)</c:v>
                </c:pt>
              </c:strCache>
            </c:strRef>
          </c:cat>
          <c:val>
            <c:numRef>
              <c:f>'Summary FY 2010 - FY 2021'!$B$106:$B$112</c:f>
              <c:numCache>
                <c:formatCode>_("$"* #,##0_);_("$"* \(#,##0\);_("$"* "-"??_);_(@_)</c:formatCode>
                <c:ptCount val="7"/>
                <c:pt idx="0">
                  <c:v>67140710.420000002</c:v>
                </c:pt>
                <c:pt idx="1">
                  <c:v>17459339.050000004</c:v>
                </c:pt>
                <c:pt idx="2">
                  <c:v>18823046.079999998</c:v>
                </c:pt>
                <c:pt idx="3">
                  <c:v>24597496.209999997</c:v>
                </c:pt>
                <c:pt idx="4">
                  <c:v>25004892.710000001</c:v>
                </c:pt>
                <c:pt idx="5">
                  <c:v>9974924.0199999958</c:v>
                </c:pt>
                <c:pt idx="6">
                  <c:v>22302596.630000006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0-79C1-44E2-A6D5-CB75A6EEC1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>
        <c:manualLayout>
          <c:xMode val="edge"/>
          <c:yMode val="edge"/>
          <c:x val="0.82555409557494142"/>
          <c:y val="2.91211696162360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baseline="0">
              <a:solidFill>
                <a:schemeClr val="tx2"/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'Summary FY 2010 - FY 2021'!$M$105</c:f>
              <c:strCache>
                <c:ptCount val="1"/>
                <c:pt idx="0">
                  <c:v>FY 2021</c:v>
                </c:pt>
              </c:strCache>
            </c:strRef>
          </c:tx>
          <c:dPt>
            <c:idx val="0"/>
            <c:bubble3D val="0"/>
            <c:spPr>
              <a:solidFill>
                <a:srgbClr val="00B0F0"/>
              </a:solidFill>
              <a:ln>
                <a:solidFill>
                  <a:srgbClr val="00B0F0"/>
                </a:solidFill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C29-4CC1-A707-D43AB97B54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C29-4CC1-A707-D43AB97B54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C29-4CC1-A707-D43AB97B5459}"/>
              </c:ext>
            </c:extLst>
          </c:dPt>
          <c:dPt>
            <c:idx val="3"/>
            <c:bubble3D val="0"/>
            <c:spPr>
              <a:solidFill>
                <a:srgbClr val="B6A6CA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5C29-4CC1-A707-D43AB97B5459}"/>
              </c:ext>
            </c:extLst>
          </c:dPt>
          <c:dPt>
            <c:idx val="4"/>
            <c:bubble3D val="0"/>
            <c:spPr>
              <a:solidFill>
                <a:srgbClr val="FFFF00"/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5C29-4CC1-A707-D43AB97B5459}"/>
              </c:ext>
            </c:extLst>
          </c:dPt>
          <c:dPt>
            <c:idx val="5"/>
            <c:bubble3D val="0"/>
            <c:spPr>
              <a:gradFill rotWithShape="1">
                <a:gsLst>
                  <a:gs pos="0">
                    <a:schemeClr val="accent6">
                      <a:shade val="51000"/>
                      <a:satMod val="130000"/>
                    </a:schemeClr>
                  </a:gs>
                  <a:gs pos="80000">
                    <a:schemeClr val="accent6">
                      <a:shade val="93000"/>
                      <a:satMod val="130000"/>
                    </a:schemeClr>
                  </a:gs>
                  <a:gs pos="100000">
                    <a:schemeClr val="accent6">
                      <a:shade val="94000"/>
                      <a:satMod val="135000"/>
                    </a:schemeClr>
                  </a:gs>
                </a:gsLst>
                <a:lin ang="16200000" scaled="0"/>
              </a:gra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B-5C29-4CC1-A707-D43AB97B5459}"/>
              </c:ext>
            </c:extLst>
          </c:dPt>
          <c:dPt>
            <c:idx val="6"/>
            <c:bubble3D val="0"/>
            <c:spPr>
              <a:solidFill>
                <a:schemeClr val="accent1">
                  <a:lumMod val="75000"/>
                </a:schemeClr>
              </a:solidFill>
              <a:ln>
                <a:noFill/>
              </a:ln>
              <a:effectLst>
                <a:outerShdw blurRad="40000" dist="23000" dir="5400000" rotWithShape="0">
                  <a:srgbClr val="000000">
                    <a:alpha val="35000"/>
                  </a:srgb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D-5C29-4CC1-A707-D43AB97B5459}"/>
              </c:ext>
            </c:extLst>
          </c:dPt>
          <c:dLbls>
            <c:dLbl>
              <c:idx val="0"/>
              <c:layout>
                <c:manualLayout>
                  <c:x val="-6.9999356698059803E-2"/>
                  <c:y val="-0.18588754530683665"/>
                </c:manualLayout>
              </c:layout>
              <c:spPr>
                <a:xfrm>
                  <a:off x="5676743" y="1043040"/>
                  <a:ext cx="1551594" cy="332589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33848"/>
                        <a:gd name="adj2" fmla="val 218830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9962869858658971"/>
                      <c:h val="5.1960562418351251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5C29-4CC1-A707-D43AB97B5459}"/>
                </c:ext>
              </c:extLst>
            </c:dLbl>
            <c:dLbl>
              <c:idx val="1"/>
              <c:layout>
                <c:manualLayout>
                  <c:x val="6.0985789804459997E-2"/>
                  <c:y val="-2.2668565192874999E-2"/>
                </c:manualLayout>
              </c:layout>
              <c:spPr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-94224"/>
                        <a:gd name="adj2" fmla="val -47140"/>
                      </a:avLst>
                    </a:prstGeom>
                    <a:noFill/>
                    <a:ln>
                      <a:noFill/>
                    </a:ln>
                  </c15:spPr>
                </c:ext>
                <c:ext xmlns:c16="http://schemas.microsoft.com/office/drawing/2014/chart" uri="{C3380CC4-5D6E-409C-BE32-E72D297353CC}">
                  <c16:uniqueId val="{00000003-5C29-4CC1-A707-D43AB97B5459}"/>
                </c:ext>
              </c:extLst>
            </c:dLbl>
            <c:dLbl>
              <c:idx val="2"/>
              <c:layout>
                <c:manualLayout>
                  <c:x val="-0.12416846791209922"/>
                  <c:y val="-4.6002062242219723E-4"/>
                </c:manualLayout>
              </c:layout>
              <c:spPr>
                <a:xfrm>
                  <a:off x="2473450" y="5853353"/>
                  <a:ext cx="1114972" cy="544502"/>
                </a:xfrm>
                <a:solidFill>
                  <a:sysClr val="window" lastClr="FFFFFF"/>
                </a:solidFill>
                <a:ln w="9525" cap="flat" cmpd="sng" algn="ctr">
                  <a:solidFill>
                    <a:sysClr val="windowText" lastClr="000000">
                      <a:lumMod val="25000"/>
                      <a:lumOff val="75000"/>
                    </a:sysClr>
                  </a:solidFill>
                  <a:prstDash val="solid"/>
                  <a:round/>
                  <a:headEnd type="none" w="med" len="med"/>
                  <a:tailEnd type="none" w="med" len="med"/>
                  <a:extLst>
                    <a:ext uri="{C807C97D-BFC1-408E-A445-0C87EB9F89A2}">
                      <ask:lineSketchStyleProps xmlns:ask="http://schemas.microsoft.com/office/drawing/2018/sketchyshapes" sd="0">
                        <a:custGeom>
                          <a:avLst/>
                          <a:gdLst/>
                          <a:ahLst/>
                          <a:cxnLst/>
                          <a:rect l="0" t="0" r="0" b="0"/>
                          <a:pathLst/>
                        </a:custGeom>
                        <ask:type/>
                      </ask:lineSketchStyleProps>
                    </a:ext>
                  </a:extLst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>
                        <a:gd name="adj1" fmla="val 84522"/>
                        <a:gd name="adj2" fmla="val -42202"/>
                      </a:avLst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345276405666682"/>
                      <c:h val="8.506795954590394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5-5C29-4CC1-A707-D43AB97B5459}"/>
                </c:ext>
              </c:extLst>
            </c:dLbl>
            <c:dLbl>
              <c:idx val="3"/>
              <c:layout>
                <c:manualLayout>
                  <c:x val="-3.9215686274509803E-2"/>
                  <c:y val="-2.380952380952380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15292949250908855"/>
                      <c:h val="7.3234779086804785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7-5C29-4CC1-A707-D43AB97B5459}"/>
                </c:ext>
              </c:extLst>
            </c:dLbl>
            <c:dLbl>
              <c:idx val="4"/>
              <c:layout>
                <c:manualLayout>
                  <c:x val="-2.0180890432174241E-2"/>
                  <c:y val="9.9282483789375035E-3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2604120194959814"/>
                      <c:h val="8.6994040737179854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9-5C29-4CC1-A707-D43AB97B5459}"/>
                </c:ext>
              </c:extLst>
            </c:dLbl>
            <c:dLbl>
              <c:idx val="5"/>
              <c:layout>
                <c:manualLayout>
                  <c:x val="5.5184370336060938E-3"/>
                  <c:y val="-4.4509123859517559E-2"/>
                </c:manualLayout>
              </c:layout>
              <c:spPr>
                <a:solidFill>
                  <a:sysClr val="window" lastClr="FFFFFF"/>
                </a:solidFill>
                <a:ln>
                  <a:solidFill>
                    <a:sysClr val="windowText" lastClr="000000">
                      <a:lumMod val="25000"/>
                      <a:lumOff val="75000"/>
                    </a:sysClr>
                  </a:solidFill>
                </a:ln>
                <a:effectLst/>
              </c:spPr>
              <c:txPr>
                <a:bodyPr rot="0" spcFirstLastPara="1" vertOverflow="clip" horzOverflow="clip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chemeClr val="dk2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spPr xmlns:c15="http://schemas.microsoft.com/office/drawing/2012/chart">
                    <a:prstGeom prst="wedgeRectCallout">
                      <a:avLst/>
                    </a:prstGeom>
                    <a:noFill/>
                    <a:ln>
                      <a:noFill/>
                    </a:ln>
                  </c15:spPr>
                  <c15:layout>
                    <c:manualLayout>
                      <c:w val="0.146748047798373"/>
                      <c:h val="7.9286216303143656E-2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B-5C29-4CC1-A707-D43AB97B5459}"/>
                </c:ext>
              </c:extLst>
            </c:dLbl>
            <c:dLbl>
              <c:idx val="6"/>
              <c:layout>
                <c:manualLayout>
                  <c:x val="5.6260871802789325E-2"/>
                  <c:y val="-4.377765279340083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5C29-4CC1-A707-D43AB97B5459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dk2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outEnd"/>
            <c:showLegendKey val="0"/>
            <c:showVal val="1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'Summary FY 2010 - FY 2021'!$A$106:$A$112</c:f>
              <c:strCache>
                <c:ptCount val="7"/>
                <c:pt idx="0">
                  <c:v>Academic Affairs (1.0, 2.0, 3.0)</c:v>
                </c:pt>
                <c:pt idx="1">
                  <c:v>Academic Support Expenditures (4.0)</c:v>
                </c:pt>
                <c:pt idx="2">
                  <c:v>Student Services Expenditures (5.0)</c:v>
                </c:pt>
                <c:pt idx="3">
                  <c:v>Institutional Support Expenditures (6.0)</c:v>
                </c:pt>
                <c:pt idx="4">
                  <c:v>Scholarships Expenditures (8.0)</c:v>
                </c:pt>
                <c:pt idx="5">
                  <c:v>Auxiliary Enterprises Expenditures (9.0)</c:v>
                </c:pt>
                <c:pt idx="6">
                  <c:v>Operations &amp; Maint. of Plant Expenditures (7.0)</c:v>
                </c:pt>
              </c:strCache>
            </c:strRef>
          </c:cat>
          <c:val>
            <c:numRef>
              <c:f>'Summary FY 2010 - FY 2021'!$M$106:$M$112</c:f>
              <c:numCache>
                <c:formatCode>_("$"* #,##0_);_("$"* \(#,##0\);_("$"* "-"??_);_(@_)</c:formatCode>
                <c:ptCount val="7"/>
                <c:pt idx="0">
                  <c:v>99366986.680000022</c:v>
                </c:pt>
                <c:pt idx="1">
                  <c:v>15290819.51</c:v>
                </c:pt>
                <c:pt idx="2">
                  <c:v>26678739.359999999</c:v>
                </c:pt>
                <c:pt idx="3">
                  <c:v>30390817.810000002</c:v>
                </c:pt>
                <c:pt idx="4">
                  <c:v>31476155.949999996</c:v>
                </c:pt>
                <c:pt idx="5">
                  <c:v>8252684.2800000003</c:v>
                </c:pt>
                <c:pt idx="6">
                  <c:v>46619087.620000005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5C29-4CC1-A707-D43AB97B54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0"/>
      </c:pie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2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26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dk1">
            <a:lumMod val="75000"/>
            <a:lumOff val="25000"/>
          </a:schemeClr>
        </a:solidFill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31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5">
  <cs:axisTitle>
    <cs:lnRef idx="0"/>
    <cs:fillRef idx="0"/>
    <cs:effectRef idx="0"/>
    <cs:fontRef idx="minor">
      <a:schemeClr val="tx2"/>
    </cs:fontRef>
    <cs:defRPr sz="900" b="1" kern="1200"/>
  </cs:axisTitle>
  <cs:category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2"/>
    </cs:fontRef>
    <cs:defRPr sz="900" kern="1200"/>
  </cs:dataLabel>
  <cs:dataLabelCallout>
    <cs:lnRef idx="0"/>
    <cs:fillRef idx="0"/>
    <cs:effectRef idx="0"/>
    <cs:fontRef idx="minor">
      <a:schemeClr val="dk2">
        <a:lumMod val="7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2"/>
    <cs:fontRef idx="minor">
      <a:schemeClr val="tx2"/>
    </cs:fontRef>
  </cs:dataPoint>
  <cs:dataPoint3D>
    <cs:lnRef idx="0"/>
    <cs:fillRef idx="3">
      <cs:styleClr val="auto"/>
    </cs:fillRef>
    <cs:effectRef idx="2"/>
    <cs:fontRef idx="minor">
      <a:schemeClr val="tx2"/>
    </cs:fontRef>
  </cs:dataPoint3D>
  <cs:dataPointLine>
    <cs:lnRef idx="0">
      <cs:styleClr val="auto"/>
    </cs:lnRef>
    <cs:fillRef idx="3"/>
    <cs:effectRef idx="2"/>
    <cs:fontRef idx="minor">
      <a:schemeClr val="tx2"/>
    </cs:fontRef>
    <cs:spPr>
      <a:ln w="31750" cap="rnd">
        <a:solidFill>
          <a:schemeClr val="phClr"/>
        </a:solidFill>
        <a:round/>
      </a:ln>
    </cs:spPr>
  </cs:dataPointLine>
  <cs:dataPointMarker>
    <cs:lnRef idx="0"/>
    <cs:fillRef idx="3">
      <cs:styleClr val="auto"/>
    </cs:fillRef>
    <cs:effectRef idx="2"/>
    <cs:fontRef idx="minor">
      <a:schemeClr val="tx2"/>
    </cs:fontRef>
    <cs:spPr>
      <a:ln w="12700">
        <a:solidFill>
          <a:schemeClr val="lt2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2"/>
    <cs:fontRef idx="minor">
      <a:schemeClr val="tx2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2"/>
    </cs:fontRef>
    <cs:spPr>
      <a:ln w="9525">
        <a:solidFill>
          <a:schemeClr val="tx2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2"/>
    </cs:fontRef>
    <cs:spPr>
      <a:ln w="9525">
        <a:solidFill>
          <a:schemeClr val="tx2">
            <a:lumMod val="75000"/>
          </a:schemeClr>
        </a:solidFill>
        <a:round/>
      </a:ln>
    </cs:spPr>
  </cs:errorBar>
  <cs:floor>
    <cs:lnRef idx="0"/>
    <cs:fillRef idx="0"/>
    <cs:effectRef idx="0"/>
    <cs:fontRef idx="minor">
      <a:schemeClr val="tx2"/>
    </cs:fontRef>
  </cs:floor>
  <cs:gridlineMajor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2"/>
    </cs:fontRef>
    <cs:spPr>
      <a:ln>
        <a:solidFill>
          <a:schemeClr val="tx2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2"/>
    </cs:fontRef>
    <cs:defRPr sz="900" kern="1200"/>
  </cs:legend>
  <cs:plotArea>
    <cs:lnRef idx="0"/>
    <cs:fillRef idx="0"/>
    <cs:effectRef idx="0"/>
    <cs:fontRef idx="minor">
      <a:schemeClr val="tx2"/>
    </cs:fontRef>
  </cs:plotArea>
  <cs:plotArea3D>
    <cs:lnRef idx="0"/>
    <cs:fillRef idx="0"/>
    <cs:effectRef idx="0"/>
    <cs:fontRef idx="minor">
      <a:schemeClr val="tx2"/>
    </cs:fontRef>
  </cs:plotArea3D>
  <cs:seriesAxis>
    <cs:lnRef idx="0"/>
    <cs:fillRef idx="0"/>
    <cs:effectRef idx="0"/>
    <cs:fontRef idx="minor">
      <a:schemeClr val="tx2"/>
    </cs:fontRef>
    <cs:spPr>
      <a:ln w="9525" cap="flat" cmpd="sng" algn="ctr">
        <a:solidFill>
          <a:schemeClr val="tx2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2"/>
    </cs:fontRef>
    <cs:spPr>
      <a:ln w="9525">
        <a:solidFill>
          <a:schemeClr val="tx2">
            <a:lumMod val="60000"/>
            <a:lumOff val="40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2"/>
    </cs:fontRef>
    <cs:defRPr sz="1600" b="1" kern="1200"/>
  </cs:title>
  <cs:trendline>
    <cs:lnRef idx="0">
      <cs:styleClr val="auto"/>
    </cs:lnRef>
    <cs:fillRef idx="0"/>
    <cs:effectRef idx="0"/>
    <cs:fontRef idx="minor">
      <a:schemeClr val="tx2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2"/>
    </cs:fontRef>
    <cs:defRPr sz="900" kern="1200"/>
  </cs:trendlineLabel>
  <cs:upBar>
    <cs:lnRef idx="0"/>
    <cs:fillRef idx="0"/>
    <cs:effectRef idx="0"/>
    <cs:fontRef idx="minor">
      <a:schemeClr val="tx2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2"/>
    </cs:fontRef>
    <cs:defRPr sz="900" kern="1200"/>
  </cs:valueAxis>
  <cs:wall>
    <cs:lnRef idx="0"/>
    <cs:fillRef idx="0"/>
    <cs:effectRef idx="0"/>
    <cs:fontRef idx="minor">
      <a:schemeClr val="tx2"/>
    </cs:fontRef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A124825-566C-4F23-97ED-557067945017}">
  <sheetPr/>
  <sheetViews>
    <sheetView zoomScale="108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805A01F1-B66B-4160-8B80-2BCE690C3758}">
  <sheetPr/>
  <sheetViews>
    <sheetView zoomScale="108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2917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F8D1B45-AC7C-4453-905D-5E936AE0896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8677362" cy="629174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7A3ABC-9EA4-4F6A-A210-EDD5089A7E1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12</xdr:col>
      <xdr:colOff>457200</xdr:colOff>
      <xdr:row>39</xdr:row>
      <xdr:rowOff>85725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60871BDC-63F8-4207-8C88-0C756B3329E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447675</xdr:colOff>
      <xdr:row>0</xdr:row>
      <xdr:rowOff>0</xdr:rowOff>
    </xdr:from>
    <xdr:to>
      <xdr:col>25</xdr:col>
      <xdr:colOff>295275</xdr:colOff>
      <xdr:row>39</xdr:row>
      <xdr:rowOff>85725</xdr:rowOff>
    </xdr:to>
    <xdr:graphicFrame macro="">
      <xdr:nvGraphicFramePr>
        <xdr:cNvPr id="3" name="Chart 5">
          <a:extLst>
            <a:ext uri="{FF2B5EF4-FFF2-40B4-BE49-F238E27FC236}">
              <a16:creationId xmlns:a16="http://schemas.microsoft.com/office/drawing/2014/main" id="{E97DD436-A514-46E2-9329-91CD5CD4F2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081DB-A9C4-4A6E-9588-D63AB0018940}">
  <dimension ref="A1:M141"/>
  <sheetViews>
    <sheetView zoomScale="90" zoomScaleNormal="90" workbookViewId="0">
      <pane xSplit="1" ySplit="3" topLeftCell="I4" activePane="bottomRight" state="frozen"/>
      <selection pane="topRight" activeCell="B1" sqref="B1"/>
      <selection pane="bottomLeft" activeCell="A4" sqref="A4"/>
      <selection pane="bottomRight" activeCell="N16" sqref="N16"/>
    </sheetView>
  </sheetViews>
  <sheetFormatPr defaultRowHeight="12.75" x14ac:dyDescent="0.2"/>
  <cols>
    <col min="1" max="1" width="49.7109375" bestFit="1" customWidth="1"/>
    <col min="2" max="10" width="15.7109375" bestFit="1" customWidth="1"/>
    <col min="11" max="11" width="16.85546875" bestFit="1" customWidth="1"/>
    <col min="12" max="12" width="20.42578125" customWidth="1"/>
    <col min="13" max="13" width="16.85546875" bestFit="1" customWidth="1"/>
  </cols>
  <sheetData>
    <row r="1" spans="1:13" ht="15" x14ac:dyDescent="0.25">
      <c r="A1" s="91" t="s">
        <v>492</v>
      </c>
      <c r="B1" s="78"/>
      <c r="C1" s="78"/>
      <c r="D1" s="78"/>
      <c r="E1" s="78"/>
      <c r="F1" s="78"/>
      <c r="G1" s="78"/>
      <c r="H1" s="78"/>
      <c r="I1" s="78"/>
      <c r="J1" s="78"/>
      <c r="K1" s="78"/>
    </row>
    <row r="3" spans="1:13" ht="15" x14ac:dyDescent="0.25">
      <c r="A3" s="80" t="s">
        <v>226</v>
      </c>
      <c r="B3" s="81" t="s">
        <v>7</v>
      </c>
      <c r="C3" s="81" t="s">
        <v>8</v>
      </c>
      <c r="D3" s="81" t="s">
        <v>9</v>
      </c>
      <c r="E3" s="81" t="s">
        <v>10</v>
      </c>
      <c r="F3" s="81" t="s">
        <v>236</v>
      </c>
      <c r="G3" s="81" t="s">
        <v>305</v>
      </c>
      <c r="H3" s="81" t="s">
        <v>306</v>
      </c>
      <c r="I3" s="81" t="s">
        <v>309</v>
      </c>
      <c r="J3" s="81" t="s">
        <v>314</v>
      </c>
      <c r="K3" s="81" t="s">
        <v>462</v>
      </c>
      <c r="L3" s="81" t="s">
        <v>474</v>
      </c>
      <c r="M3" s="81" t="s">
        <v>494</v>
      </c>
    </row>
    <row r="4" spans="1:13" ht="14.25" x14ac:dyDescent="0.2">
      <c r="A4" s="92" t="s">
        <v>213</v>
      </c>
      <c r="B4" s="93">
        <v>42614675.569999993</v>
      </c>
      <c r="C4" s="93">
        <v>45886552.57</v>
      </c>
      <c r="D4" s="93">
        <v>46892285.949999996</v>
      </c>
      <c r="E4" s="93">
        <v>49076155.340000018</v>
      </c>
      <c r="F4" s="93">
        <v>51508073.379999995</v>
      </c>
      <c r="G4" s="93">
        <v>57458766.379999995</v>
      </c>
      <c r="H4" s="93">
        <v>59826206.969999999</v>
      </c>
      <c r="I4" s="93">
        <v>60233629.969999999</v>
      </c>
      <c r="J4" s="93">
        <v>58140636.659999996</v>
      </c>
      <c r="K4" s="93">
        <v>61924474.549999997</v>
      </c>
      <c r="L4" s="93">
        <f>SUM('Instructional (1.0)'!S26:S68)</f>
        <v>63906734.279999994</v>
      </c>
      <c r="M4" s="93">
        <f>SUM('Instructional (1.0)'!T26:T68)</f>
        <v>63006841.400000021</v>
      </c>
    </row>
    <row r="5" spans="1:13" ht="14.25" x14ac:dyDescent="0.2">
      <c r="A5" s="92" t="s">
        <v>56</v>
      </c>
      <c r="B5" s="93">
        <v>15021560.32</v>
      </c>
      <c r="C5" s="93">
        <v>15846272.5</v>
      </c>
      <c r="D5" s="93">
        <v>16064571.140000002</v>
      </c>
      <c r="E5" s="93">
        <v>19640468.260000002</v>
      </c>
      <c r="F5" s="93">
        <v>24080904.500000004</v>
      </c>
      <c r="G5" s="93">
        <v>26690547.449999996</v>
      </c>
      <c r="H5" s="93">
        <v>30919424.620000001</v>
      </c>
      <c r="I5" s="93">
        <v>32205733.09</v>
      </c>
      <c r="J5" s="93">
        <v>32295167.43</v>
      </c>
      <c r="K5" s="93">
        <v>38268367.540000007</v>
      </c>
      <c r="L5" s="93">
        <f>'Instructional (1.0)'!S84</f>
        <v>39569442.530000001</v>
      </c>
      <c r="M5" s="93">
        <f>'Instructional (1.0)'!T84</f>
        <v>41144054.810000002</v>
      </c>
    </row>
    <row r="6" spans="1:13" ht="14.25" x14ac:dyDescent="0.2">
      <c r="A6" s="92" t="s">
        <v>1</v>
      </c>
      <c r="B6" s="93">
        <v>1133554.3699999999</v>
      </c>
      <c r="C6" s="93">
        <v>1788647.0899999996</v>
      </c>
      <c r="D6" s="93">
        <v>1388485.3599999996</v>
      </c>
      <c r="E6" s="93">
        <v>1399864.1300000001</v>
      </c>
      <c r="F6" s="93">
        <v>1581328.1499999997</v>
      </c>
      <c r="G6" s="93">
        <v>1543300.3399999999</v>
      </c>
      <c r="H6" s="93">
        <v>2800467.97</v>
      </c>
      <c r="I6" s="93">
        <v>2819412.11</v>
      </c>
      <c r="J6" s="93">
        <v>3534577.41</v>
      </c>
      <c r="K6" s="93">
        <v>2536942.7199999993</v>
      </c>
      <c r="L6" s="93">
        <f>'Instructional (1.0)'!S220</f>
        <v>2117259.5899999989</v>
      </c>
      <c r="M6" s="93">
        <f>'Instructional (1.0)'!T220</f>
        <v>2241322.9199999995</v>
      </c>
    </row>
    <row r="7" spans="1:13" ht="14.25" x14ac:dyDescent="0.2">
      <c r="A7" s="92" t="s">
        <v>218</v>
      </c>
      <c r="B7" s="93"/>
      <c r="C7" s="93"/>
      <c r="D7" s="93"/>
      <c r="E7" s="93"/>
      <c r="F7" s="93"/>
      <c r="G7" s="93"/>
      <c r="H7" s="93"/>
      <c r="I7" s="93"/>
      <c r="J7" s="93"/>
      <c r="K7" s="93"/>
      <c r="L7" s="92"/>
      <c r="M7" s="92"/>
    </row>
    <row r="8" spans="1:13" ht="14.25" x14ac:dyDescent="0.2">
      <c r="A8" s="92" t="s">
        <v>219</v>
      </c>
      <c r="B8" s="93"/>
      <c r="C8" s="93"/>
      <c r="D8" s="93"/>
      <c r="E8" s="93"/>
      <c r="F8" s="93"/>
      <c r="G8" s="93"/>
      <c r="H8" s="93"/>
      <c r="I8" s="93"/>
      <c r="J8" s="93"/>
      <c r="K8" s="93"/>
      <c r="L8" s="92"/>
      <c r="M8" s="92"/>
    </row>
    <row r="9" spans="1:13" ht="15" thickBot="1" x14ac:dyDescent="0.25">
      <c r="A9" s="92" t="s">
        <v>2</v>
      </c>
      <c r="B9" s="94">
        <f t="shared" ref="B9:M9" si="0">SUM(B4:B8)</f>
        <v>58769790.25999999</v>
      </c>
      <c r="C9" s="94">
        <f t="shared" si="0"/>
        <v>63521472.159999996</v>
      </c>
      <c r="D9" s="94">
        <f t="shared" si="0"/>
        <v>64345342.449999996</v>
      </c>
      <c r="E9" s="94">
        <f t="shared" si="0"/>
        <v>70116487.730000019</v>
      </c>
      <c r="F9" s="94">
        <f t="shared" si="0"/>
        <v>77170306.030000001</v>
      </c>
      <c r="G9" s="94">
        <f t="shared" si="0"/>
        <v>85692614.169999987</v>
      </c>
      <c r="H9" s="94">
        <f t="shared" si="0"/>
        <v>93546099.560000002</v>
      </c>
      <c r="I9" s="94">
        <f t="shared" si="0"/>
        <v>95258775.170000002</v>
      </c>
      <c r="J9" s="94">
        <f t="shared" si="0"/>
        <v>93970381.5</v>
      </c>
      <c r="K9" s="94">
        <f t="shared" si="0"/>
        <v>102729784.81</v>
      </c>
      <c r="L9" s="94">
        <f t="shared" si="0"/>
        <v>105593436.40000001</v>
      </c>
      <c r="M9" s="94">
        <f t="shared" si="0"/>
        <v>106392219.13000003</v>
      </c>
    </row>
    <row r="10" spans="1:13" ht="15" thickTop="1" x14ac:dyDescent="0.2">
      <c r="A10" s="92"/>
      <c r="B10" s="92"/>
      <c r="C10" s="92"/>
      <c r="D10" s="92"/>
      <c r="E10" s="92"/>
      <c r="F10" s="92"/>
      <c r="G10" s="92"/>
      <c r="H10" s="92"/>
      <c r="I10" s="92"/>
      <c r="J10" s="93"/>
      <c r="K10" s="93"/>
      <c r="L10" s="92"/>
      <c r="M10" s="92"/>
    </row>
    <row r="11" spans="1:13" ht="15" x14ac:dyDescent="0.25">
      <c r="A11" s="80" t="s">
        <v>238</v>
      </c>
      <c r="B11" s="81" t="s">
        <v>7</v>
      </c>
      <c r="C11" s="81" t="s">
        <v>8</v>
      </c>
      <c r="D11" s="81" t="s">
        <v>9</v>
      </c>
      <c r="E11" s="81" t="s">
        <v>10</v>
      </c>
      <c r="F11" s="81" t="s">
        <v>236</v>
      </c>
      <c r="G11" s="81" t="s">
        <v>305</v>
      </c>
      <c r="H11" s="81" t="s">
        <v>306</v>
      </c>
      <c r="I11" s="81" t="s">
        <v>309</v>
      </c>
      <c r="J11" s="82" t="s">
        <v>314</v>
      </c>
      <c r="K11" s="82" t="s">
        <v>462</v>
      </c>
      <c r="L11" s="82" t="s">
        <v>474</v>
      </c>
      <c r="M11" s="81" t="s">
        <v>494</v>
      </c>
    </row>
    <row r="12" spans="1:13" ht="14.25" x14ac:dyDescent="0.2">
      <c r="A12" s="92" t="s">
        <v>213</v>
      </c>
      <c r="B12" s="93">
        <v>571993.18000000005</v>
      </c>
      <c r="C12" s="93">
        <v>596125.08000000007</v>
      </c>
      <c r="D12" s="93">
        <v>664012.10000000009</v>
      </c>
      <c r="E12" s="93">
        <v>635393.68999999994</v>
      </c>
      <c r="F12" s="93">
        <v>625071.17000000004</v>
      </c>
      <c r="G12" s="93">
        <v>715372.94000000006</v>
      </c>
      <c r="H12" s="93">
        <v>772170.41</v>
      </c>
      <c r="I12" s="93">
        <v>591153.32999999996</v>
      </c>
      <c r="J12" s="93">
        <v>766167.79</v>
      </c>
      <c r="K12" s="93">
        <v>797938.65000000014</v>
      </c>
      <c r="L12" s="93">
        <f>SUM('Research (2.0)'!S26:S69)</f>
        <v>899523.07000000007</v>
      </c>
      <c r="M12" s="93">
        <f>SUM('Research (2.0)'!T26:T69)</f>
        <v>729214.13000000012</v>
      </c>
    </row>
    <row r="13" spans="1:13" ht="14.25" x14ac:dyDescent="0.2">
      <c r="A13" s="92" t="s">
        <v>56</v>
      </c>
      <c r="B13" s="93">
        <v>152024.18000000002</v>
      </c>
      <c r="C13" s="93">
        <v>206074.50000000003</v>
      </c>
      <c r="D13" s="93">
        <v>223449.58000000002</v>
      </c>
      <c r="E13" s="93">
        <v>243904.11000000004</v>
      </c>
      <c r="F13" s="93">
        <v>279806.27000000008</v>
      </c>
      <c r="G13" s="93">
        <v>336597.44</v>
      </c>
      <c r="H13" s="93">
        <v>383926.9</v>
      </c>
      <c r="I13" s="93">
        <v>342013.66</v>
      </c>
      <c r="J13" s="93">
        <v>434311.95</v>
      </c>
      <c r="K13" s="93">
        <v>387692.73000000004</v>
      </c>
      <c r="L13" s="93">
        <f>'Research (2.0)'!S85</f>
        <v>380081.23000000004</v>
      </c>
      <c r="M13" s="93">
        <f>'Research (2.0)'!T85</f>
        <v>343456.94</v>
      </c>
    </row>
    <row r="14" spans="1:13" ht="14.25" x14ac:dyDescent="0.2">
      <c r="A14" s="92" t="s">
        <v>1</v>
      </c>
      <c r="B14" s="93">
        <v>467153.2900000001</v>
      </c>
      <c r="C14" s="93">
        <v>944835.98999999987</v>
      </c>
      <c r="D14" s="93">
        <v>969962.72</v>
      </c>
      <c r="E14" s="93">
        <v>1011817.86</v>
      </c>
      <c r="F14" s="93">
        <v>679180.06000000017</v>
      </c>
      <c r="G14" s="93">
        <v>744346.45000000007</v>
      </c>
      <c r="H14" s="93">
        <v>835093.22</v>
      </c>
      <c r="I14" s="93">
        <v>679273.93</v>
      </c>
      <c r="J14" s="93">
        <v>623307.06999999995</v>
      </c>
      <c r="K14" s="93">
        <v>718168.02</v>
      </c>
      <c r="L14" s="93">
        <f>'Research (2.0)'!S217</f>
        <v>659119.36999999988</v>
      </c>
      <c r="M14" s="93">
        <f>'Research (2.0)'!T217</f>
        <v>491536.80000000005</v>
      </c>
    </row>
    <row r="15" spans="1:13" ht="14.25" x14ac:dyDescent="0.2">
      <c r="A15" s="92" t="s">
        <v>218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  <c r="L15" s="92"/>
      <c r="M15" s="92"/>
    </row>
    <row r="16" spans="1:13" ht="14.25" x14ac:dyDescent="0.2">
      <c r="A16" s="92" t="s">
        <v>219</v>
      </c>
      <c r="B16" s="93"/>
      <c r="C16" s="93"/>
      <c r="D16" s="93"/>
      <c r="E16" s="93"/>
      <c r="F16" s="93"/>
      <c r="G16" s="93"/>
      <c r="H16" s="93"/>
      <c r="I16" s="93"/>
      <c r="J16" s="93"/>
      <c r="K16" s="93"/>
      <c r="L16" s="92"/>
      <c r="M16" s="92"/>
    </row>
    <row r="17" spans="1:13" ht="15" thickBot="1" x14ac:dyDescent="0.25">
      <c r="A17" s="92" t="s">
        <v>2</v>
      </c>
      <c r="B17" s="94">
        <f t="shared" ref="B17:M17" si="1">SUM(B12:B16)</f>
        <v>1191170.6500000001</v>
      </c>
      <c r="C17" s="94">
        <f t="shared" si="1"/>
        <v>1747035.5699999998</v>
      </c>
      <c r="D17" s="94">
        <f t="shared" si="1"/>
        <v>1857424.4000000001</v>
      </c>
      <c r="E17" s="94">
        <f t="shared" si="1"/>
        <v>1891115.6600000001</v>
      </c>
      <c r="F17" s="94">
        <f t="shared" si="1"/>
        <v>1584057.5000000005</v>
      </c>
      <c r="G17" s="94">
        <f t="shared" si="1"/>
        <v>1796316.83</v>
      </c>
      <c r="H17" s="94">
        <f t="shared" si="1"/>
        <v>1991190.53</v>
      </c>
      <c r="I17" s="94">
        <f t="shared" si="1"/>
        <v>1612440.92</v>
      </c>
      <c r="J17" s="94">
        <f t="shared" si="1"/>
        <v>1823786.81</v>
      </c>
      <c r="K17" s="94">
        <f t="shared" si="1"/>
        <v>1903799.4000000001</v>
      </c>
      <c r="L17" s="94">
        <f t="shared" si="1"/>
        <v>1938723.67</v>
      </c>
      <c r="M17" s="94">
        <f t="shared" si="1"/>
        <v>1564207.87</v>
      </c>
    </row>
    <row r="18" spans="1:13" ht="15" thickTop="1" x14ac:dyDescent="0.2">
      <c r="A18" s="92"/>
      <c r="B18" s="92"/>
      <c r="C18" s="92"/>
      <c r="D18" s="92"/>
      <c r="E18" s="92"/>
      <c r="F18" s="92"/>
      <c r="G18" s="92"/>
      <c r="H18" s="92"/>
      <c r="I18" s="92"/>
      <c r="J18" s="93"/>
      <c r="K18" s="93"/>
      <c r="L18" s="92"/>
      <c r="M18" s="92"/>
    </row>
    <row r="19" spans="1:13" ht="15" x14ac:dyDescent="0.25">
      <c r="A19" s="80" t="s">
        <v>241</v>
      </c>
      <c r="B19" s="81" t="s">
        <v>7</v>
      </c>
      <c r="C19" s="81" t="s">
        <v>8</v>
      </c>
      <c r="D19" s="81" t="s">
        <v>9</v>
      </c>
      <c r="E19" s="81" t="s">
        <v>10</v>
      </c>
      <c r="F19" s="81" t="s">
        <v>236</v>
      </c>
      <c r="G19" s="81" t="s">
        <v>305</v>
      </c>
      <c r="H19" s="81" t="s">
        <v>306</v>
      </c>
      <c r="I19" s="81" t="s">
        <v>309</v>
      </c>
      <c r="J19" s="82" t="s">
        <v>314</v>
      </c>
      <c r="K19" s="82" t="s">
        <v>462</v>
      </c>
      <c r="L19" s="82" t="s">
        <v>474</v>
      </c>
      <c r="M19" s="81" t="s">
        <v>494</v>
      </c>
    </row>
    <row r="20" spans="1:13" ht="14.25" x14ac:dyDescent="0.2">
      <c r="A20" s="92" t="s">
        <v>213</v>
      </c>
      <c r="B20" s="93">
        <v>2920676.52</v>
      </c>
      <c r="C20" s="93">
        <v>3057668.1</v>
      </c>
      <c r="D20" s="93">
        <v>3610764.8099999996</v>
      </c>
      <c r="E20" s="93">
        <v>3369116.6500000004</v>
      </c>
      <c r="F20" s="93">
        <v>2931099.1100000003</v>
      </c>
      <c r="G20" s="93">
        <v>3141206.41</v>
      </c>
      <c r="H20" s="93">
        <v>3222538.5599999991</v>
      </c>
      <c r="I20" s="93">
        <v>2727647.8</v>
      </c>
      <c r="J20" s="93">
        <v>2235991.13</v>
      </c>
      <c r="K20" s="93">
        <v>2213330.9299999997</v>
      </c>
      <c r="L20" s="93">
        <f>SUM('Public Service (3.0)'!S26:S69)</f>
        <v>1762246.2799999998</v>
      </c>
      <c r="M20" s="93">
        <f>SUM('Public Service (3.0)'!T26:T69)</f>
        <v>1752057.4700000002</v>
      </c>
    </row>
    <row r="21" spans="1:13" ht="14.25" x14ac:dyDescent="0.2">
      <c r="A21" s="92" t="s">
        <v>56</v>
      </c>
      <c r="B21" s="93">
        <v>958359.59</v>
      </c>
      <c r="C21" s="93">
        <v>1016224.9800000002</v>
      </c>
      <c r="D21" s="93">
        <v>1183591.2700000003</v>
      </c>
      <c r="E21" s="93">
        <v>1192963.7700000003</v>
      </c>
      <c r="F21" s="93">
        <v>1107948.02</v>
      </c>
      <c r="G21" s="93">
        <v>1258547.4900000002</v>
      </c>
      <c r="H21" s="93">
        <v>1452724.7899999998</v>
      </c>
      <c r="I21" s="93">
        <v>1384239.5399999998</v>
      </c>
      <c r="J21" s="93">
        <v>1283814.93</v>
      </c>
      <c r="K21" s="93">
        <v>1248860.3499999999</v>
      </c>
      <c r="L21" s="93">
        <f>'Public Service (3.0)'!S85</f>
        <v>890588.9800000001</v>
      </c>
      <c r="M21" s="93">
        <f>'Public Service (3.0)'!T85</f>
        <v>913523.45000000007</v>
      </c>
    </row>
    <row r="22" spans="1:13" ht="14.25" x14ac:dyDescent="0.2">
      <c r="A22" s="92" t="s">
        <v>1</v>
      </c>
      <c r="B22" s="93">
        <v>3300713.4</v>
      </c>
      <c r="C22" s="93">
        <v>3614639.3800000008</v>
      </c>
      <c r="D22" s="93">
        <v>3412913.42</v>
      </c>
      <c r="E22" s="93">
        <v>3653031.1799999997</v>
      </c>
      <c r="F22" s="93">
        <v>3891762.7200000021</v>
      </c>
      <c r="G22" s="93">
        <v>3633153.560000001</v>
      </c>
      <c r="H22" s="93">
        <v>3112794.51</v>
      </c>
      <c r="I22" s="93">
        <v>2305129.1100000003</v>
      </c>
      <c r="J22" s="93">
        <v>2473620.87</v>
      </c>
      <c r="K22" s="93">
        <v>2293831.9199999995</v>
      </c>
      <c r="L22" s="93">
        <f>'Public Service (3.0)'!S230</f>
        <v>1531507.01</v>
      </c>
      <c r="M22" s="93">
        <f>'Public Service (3.0)'!T230</f>
        <v>585422.32999999996</v>
      </c>
    </row>
    <row r="23" spans="1:13" ht="14.25" x14ac:dyDescent="0.2">
      <c r="A23" s="92" t="s">
        <v>218</v>
      </c>
      <c r="B23" s="93"/>
      <c r="C23" s="93"/>
      <c r="D23" s="93"/>
      <c r="E23" s="93"/>
      <c r="F23" s="93"/>
      <c r="G23" s="93"/>
      <c r="H23" s="93"/>
      <c r="I23" s="93"/>
      <c r="J23" s="93"/>
      <c r="K23" s="93"/>
      <c r="L23" s="92"/>
      <c r="M23" s="92"/>
    </row>
    <row r="24" spans="1:13" ht="14.25" x14ac:dyDescent="0.2">
      <c r="A24" s="92" t="s">
        <v>219</v>
      </c>
      <c r="B24" s="93"/>
      <c r="C24" s="93"/>
      <c r="D24" s="93"/>
      <c r="E24" s="93"/>
      <c r="F24" s="93"/>
      <c r="G24" s="93"/>
      <c r="H24" s="93"/>
      <c r="I24" s="93"/>
      <c r="J24" s="93"/>
      <c r="K24" s="93"/>
      <c r="L24" s="92"/>
      <c r="M24" s="92"/>
    </row>
    <row r="25" spans="1:13" ht="15" thickBot="1" x14ac:dyDescent="0.25">
      <c r="A25" s="92" t="s">
        <v>2</v>
      </c>
      <c r="B25" s="94">
        <f t="shared" ref="B25:M25" si="2">SUM(B20:B24)</f>
        <v>7179749.5099999998</v>
      </c>
      <c r="C25" s="94">
        <f t="shared" si="2"/>
        <v>7688532.4600000009</v>
      </c>
      <c r="D25" s="94">
        <f t="shared" si="2"/>
        <v>8207269.5</v>
      </c>
      <c r="E25" s="94">
        <f t="shared" si="2"/>
        <v>8215111.6000000006</v>
      </c>
      <c r="F25" s="94">
        <f t="shared" si="2"/>
        <v>7930809.8500000024</v>
      </c>
      <c r="G25" s="94">
        <f t="shared" si="2"/>
        <v>8032907.4600000009</v>
      </c>
      <c r="H25" s="94">
        <f t="shared" si="2"/>
        <v>7788057.8599999985</v>
      </c>
      <c r="I25" s="94">
        <f t="shared" si="2"/>
        <v>6417016.4500000002</v>
      </c>
      <c r="J25" s="94">
        <f t="shared" si="2"/>
        <v>5993426.9299999997</v>
      </c>
      <c r="K25" s="94">
        <f t="shared" si="2"/>
        <v>5756023.1999999993</v>
      </c>
      <c r="L25" s="94">
        <f t="shared" si="2"/>
        <v>4184342.2699999996</v>
      </c>
      <c r="M25" s="94">
        <f t="shared" si="2"/>
        <v>3251003.2500000005</v>
      </c>
    </row>
    <row r="26" spans="1:13" ht="15" thickTop="1" x14ac:dyDescent="0.2">
      <c r="A26" s="78"/>
      <c r="B26" s="78"/>
      <c r="C26" s="78"/>
      <c r="D26" s="78"/>
      <c r="E26" s="78"/>
      <c r="F26" s="78"/>
      <c r="G26" s="78"/>
      <c r="H26" s="78"/>
      <c r="I26" s="78"/>
      <c r="J26" s="95"/>
      <c r="K26" s="78"/>
      <c r="L26" s="79"/>
    </row>
    <row r="27" spans="1:13" ht="15" x14ac:dyDescent="0.25">
      <c r="A27" s="83" t="s">
        <v>483</v>
      </c>
      <c r="B27" s="84" t="s">
        <v>7</v>
      </c>
      <c r="C27" s="84" t="s">
        <v>8</v>
      </c>
      <c r="D27" s="84" t="s">
        <v>9</v>
      </c>
      <c r="E27" s="84" t="s">
        <v>10</v>
      </c>
      <c r="F27" s="84" t="s">
        <v>236</v>
      </c>
      <c r="G27" s="84" t="s">
        <v>305</v>
      </c>
      <c r="H27" s="84" t="s">
        <v>306</v>
      </c>
      <c r="I27" s="84" t="s">
        <v>309</v>
      </c>
      <c r="J27" s="84" t="s">
        <v>314</v>
      </c>
      <c r="K27" s="84" t="s">
        <v>462</v>
      </c>
      <c r="L27" s="84" t="s">
        <v>474</v>
      </c>
      <c r="M27" s="84" t="s">
        <v>494</v>
      </c>
    </row>
    <row r="28" spans="1:13" ht="14.25" x14ac:dyDescent="0.2">
      <c r="A28" s="79" t="s">
        <v>213</v>
      </c>
      <c r="B28" s="96">
        <f t="shared" ref="B28:G30" si="3">B4+B12+B20</f>
        <v>46107345.269999996</v>
      </c>
      <c r="C28" s="96">
        <f t="shared" si="3"/>
        <v>49540345.75</v>
      </c>
      <c r="D28" s="96">
        <f t="shared" si="3"/>
        <v>51167062.859999999</v>
      </c>
      <c r="E28" s="96">
        <f t="shared" si="3"/>
        <v>53080665.680000015</v>
      </c>
      <c r="F28" s="96">
        <f t="shared" si="3"/>
        <v>55064243.659999996</v>
      </c>
      <c r="G28" s="96">
        <f t="shared" si="3"/>
        <v>61315345.729999989</v>
      </c>
      <c r="H28" s="96">
        <f>H4+H12+H20-3415706.1</f>
        <v>60405209.839999996</v>
      </c>
      <c r="I28" s="96">
        <f>I4+I12+I20-3260116.2</f>
        <v>60292314.899999991</v>
      </c>
      <c r="J28" s="96">
        <f>J4+J12+J20-3105974.6</f>
        <v>58036820.979999997</v>
      </c>
      <c r="K28" s="96">
        <f>K4+K12+K20-5877123.42</f>
        <v>59058620.709999993</v>
      </c>
      <c r="L28" s="95">
        <f>L4+L12+L20-6265393.18</f>
        <v>60303110.449999996</v>
      </c>
      <c r="M28" s="95">
        <f>M4+M12+M20-6109133.54</f>
        <v>59378979.460000023</v>
      </c>
    </row>
    <row r="29" spans="1:13" ht="14.25" x14ac:dyDescent="0.2">
      <c r="A29" s="79" t="s">
        <v>56</v>
      </c>
      <c r="B29" s="96">
        <f t="shared" si="3"/>
        <v>16131944.09</v>
      </c>
      <c r="C29" s="96">
        <f t="shared" si="3"/>
        <v>17068571.98</v>
      </c>
      <c r="D29" s="96">
        <f t="shared" si="3"/>
        <v>17471611.990000002</v>
      </c>
      <c r="E29" s="96">
        <f t="shared" si="3"/>
        <v>21077336.140000001</v>
      </c>
      <c r="F29" s="96">
        <f t="shared" si="3"/>
        <v>25468658.790000003</v>
      </c>
      <c r="G29" s="96">
        <f t="shared" si="3"/>
        <v>28285692.379999995</v>
      </c>
      <c r="H29" s="96">
        <f>H5+H13+H21-2719857</f>
        <v>30036219.309999999</v>
      </c>
      <c r="I29" s="96">
        <f>I5+I13+I21-2664289.75</f>
        <v>31267696.539999999</v>
      </c>
      <c r="J29" s="96">
        <f>J5+J13+J21-2611986.71</f>
        <v>31401307.600000001</v>
      </c>
      <c r="K29" s="96">
        <f>K5+K13+K21-5327763.56</f>
        <v>34577157.060000002</v>
      </c>
      <c r="L29" s="95">
        <f>L5+L13+L21-5755800.92</f>
        <v>35084311.819999993</v>
      </c>
      <c r="M29" s="95">
        <f>M5+M13+M21-5731310.03</f>
        <v>36669725.170000002</v>
      </c>
    </row>
    <row r="30" spans="1:13" ht="14.25" x14ac:dyDescent="0.2">
      <c r="A30" s="79" t="s">
        <v>1</v>
      </c>
      <c r="B30" s="96">
        <f t="shared" si="3"/>
        <v>4901421.0599999996</v>
      </c>
      <c r="C30" s="96">
        <f t="shared" si="3"/>
        <v>6348122.4600000009</v>
      </c>
      <c r="D30" s="96">
        <f t="shared" si="3"/>
        <v>5771361.5</v>
      </c>
      <c r="E30" s="96">
        <f t="shared" si="3"/>
        <v>6064713.1699999999</v>
      </c>
      <c r="F30" s="96">
        <f t="shared" si="3"/>
        <v>6152270.9300000016</v>
      </c>
      <c r="G30" s="96">
        <f t="shared" si="3"/>
        <v>5920800.3500000015</v>
      </c>
      <c r="H30" s="96">
        <f t="shared" ref="H30:M30" si="4">H6+H14+H22</f>
        <v>6748355.7000000002</v>
      </c>
      <c r="I30" s="96">
        <f t="shared" si="4"/>
        <v>5803815.1500000004</v>
      </c>
      <c r="J30" s="96">
        <f t="shared" si="4"/>
        <v>6631505.3499999996</v>
      </c>
      <c r="K30" s="96">
        <f t="shared" si="4"/>
        <v>5548942.6599999983</v>
      </c>
      <c r="L30" s="95">
        <f t="shared" si="4"/>
        <v>4307885.9699999988</v>
      </c>
      <c r="M30" s="95">
        <f t="shared" si="4"/>
        <v>3318282.05</v>
      </c>
    </row>
    <row r="31" spans="1:13" ht="14.25" x14ac:dyDescent="0.2">
      <c r="A31" s="79" t="s">
        <v>218</v>
      </c>
      <c r="B31" s="96"/>
      <c r="C31" s="96"/>
      <c r="D31" s="96"/>
      <c r="E31" s="96"/>
      <c r="F31" s="96"/>
      <c r="G31" s="96"/>
      <c r="H31" s="96"/>
      <c r="I31" s="96"/>
      <c r="J31" s="95"/>
      <c r="K31" s="78"/>
      <c r="L31" s="79"/>
      <c r="M31" s="79"/>
    </row>
    <row r="32" spans="1:13" ht="14.25" x14ac:dyDescent="0.2">
      <c r="A32" s="79" t="s">
        <v>219</v>
      </c>
      <c r="B32" s="96"/>
      <c r="C32" s="96"/>
      <c r="D32" s="96"/>
      <c r="E32" s="96"/>
      <c r="F32" s="96"/>
      <c r="G32" s="96"/>
      <c r="H32" s="96"/>
      <c r="I32" s="96"/>
      <c r="J32" s="95"/>
      <c r="K32" s="78"/>
      <c r="L32" s="79"/>
      <c r="M32" s="79"/>
    </row>
    <row r="33" spans="1:13" ht="15" thickBot="1" x14ac:dyDescent="0.25">
      <c r="A33" s="79" t="s">
        <v>484</v>
      </c>
      <c r="B33" s="97">
        <f t="shared" ref="B33:L33" si="5">SUM(B28:B32)</f>
        <v>67140710.420000002</v>
      </c>
      <c r="C33" s="97">
        <f t="shared" si="5"/>
        <v>72957040.189999998</v>
      </c>
      <c r="D33" s="97">
        <f t="shared" si="5"/>
        <v>74410036.349999994</v>
      </c>
      <c r="E33" s="97">
        <f t="shared" si="5"/>
        <v>80222714.990000024</v>
      </c>
      <c r="F33" s="97">
        <f t="shared" si="5"/>
        <v>86685173.38000001</v>
      </c>
      <c r="G33" s="97">
        <f t="shared" si="5"/>
        <v>95521838.459999979</v>
      </c>
      <c r="H33" s="97">
        <f t="shared" si="5"/>
        <v>97189784.849999994</v>
      </c>
      <c r="I33" s="97">
        <f t="shared" si="5"/>
        <v>97363826.590000004</v>
      </c>
      <c r="J33" s="97">
        <f t="shared" si="5"/>
        <v>96069633.929999992</v>
      </c>
      <c r="K33" s="97">
        <f t="shared" si="5"/>
        <v>99184720.429999992</v>
      </c>
      <c r="L33" s="97">
        <f t="shared" si="5"/>
        <v>99695308.23999998</v>
      </c>
      <c r="M33" s="97">
        <f t="shared" ref="M33" si="6">SUM(M28:M32)</f>
        <v>99366986.680000022</v>
      </c>
    </row>
    <row r="34" spans="1:13" ht="15" thickTop="1" x14ac:dyDescent="0.2">
      <c r="A34" s="78"/>
      <c r="B34" s="78"/>
      <c r="C34" s="78"/>
      <c r="D34" s="78"/>
      <c r="E34" s="78"/>
      <c r="F34" s="78"/>
      <c r="G34" s="78"/>
      <c r="H34" s="78"/>
      <c r="I34" s="78"/>
      <c r="J34" s="95"/>
      <c r="K34" s="78"/>
      <c r="L34" s="79"/>
    </row>
    <row r="35" spans="1:13" ht="15" x14ac:dyDescent="0.25">
      <c r="A35" s="83" t="s">
        <v>227</v>
      </c>
      <c r="B35" s="84" t="s">
        <v>7</v>
      </c>
      <c r="C35" s="84" t="s">
        <v>8</v>
      </c>
      <c r="D35" s="84" t="s">
        <v>9</v>
      </c>
      <c r="E35" s="84" t="s">
        <v>10</v>
      </c>
      <c r="F35" s="84" t="s">
        <v>236</v>
      </c>
      <c r="G35" s="84" t="s">
        <v>305</v>
      </c>
      <c r="H35" s="84" t="s">
        <v>306</v>
      </c>
      <c r="I35" s="84" t="s">
        <v>309</v>
      </c>
      <c r="J35" s="84" t="s">
        <v>314</v>
      </c>
      <c r="K35" s="84" t="s">
        <v>462</v>
      </c>
      <c r="L35" s="84" t="s">
        <v>474</v>
      </c>
      <c r="M35" s="84" t="s">
        <v>494</v>
      </c>
    </row>
    <row r="36" spans="1:13" ht="14.25" x14ac:dyDescent="0.2">
      <c r="A36" s="79" t="s">
        <v>213</v>
      </c>
      <c r="B36" s="96">
        <v>9262097.660000002</v>
      </c>
      <c r="C36" s="96">
        <v>9833649.0099999998</v>
      </c>
      <c r="D36" s="96">
        <v>9475151.6600000001</v>
      </c>
      <c r="E36" s="96">
        <v>7144714.5200000005</v>
      </c>
      <c r="F36" s="96">
        <v>7510363.0699999994</v>
      </c>
      <c r="G36" s="96">
        <v>8134495.4100000001</v>
      </c>
      <c r="H36" s="96">
        <f>8571250-477869.61</f>
        <v>8093380.3899999997</v>
      </c>
      <c r="I36" s="96">
        <f>8493211.25-448975.55</f>
        <v>8044235.7000000002</v>
      </c>
      <c r="J36" s="96">
        <f>8193419.65-435278.52</f>
        <v>7758141.1300000008</v>
      </c>
      <c r="K36" s="95">
        <v>7332467.6999999993</v>
      </c>
      <c r="L36" s="95">
        <f>SUM('Academic Support (4.0)'!S26:S71)-834864.51</f>
        <v>7756352.1999999993</v>
      </c>
      <c r="M36" s="95">
        <f>SUM('Academic Support (4.0)'!T26:T71)-782941.22</f>
        <v>7390792.8800000008</v>
      </c>
    </row>
    <row r="37" spans="1:13" ht="14.25" x14ac:dyDescent="0.2">
      <c r="A37" s="79" t="s">
        <v>56</v>
      </c>
      <c r="B37" s="96">
        <v>2742541.5500000003</v>
      </c>
      <c r="C37" s="96">
        <v>2829739.3000000003</v>
      </c>
      <c r="D37" s="96">
        <v>2942315.26</v>
      </c>
      <c r="E37" s="96">
        <v>2841826.7699999996</v>
      </c>
      <c r="F37" s="96">
        <v>3612432.7600000002</v>
      </c>
      <c r="G37" s="96">
        <v>3974198.7000000007</v>
      </c>
      <c r="H37" s="96">
        <f>4851103.45-380517.81</f>
        <v>4470585.6400000006</v>
      </c>
      <c r="I37" s="96">
        <f>4918885.03-366919.73</f>
        <v>4551965.3000000007</v>
      </c>
      <c r="J37" s="96">
        <f>5141976.52-366049.9</f>
        <v>4775926.6199999992</v>
      </c>
      <c r="K37" s="98">
        <v>4939732.66</v>
      </c>
      <c r="L37" s="95">
        <f>'Academic Support (4.0)'!S87-766961.27</f>
        <v>4954035.09</v>
      </c>
      <c r="M37" s="95">
        <f>'Academic Support (4.0)'!T87-734519.69</f>
        <v>4918725.2899999991</v>
      </c>
    </row>
    <row r="38" spans="1:13" ht="14.25" x14ac:dyDescent="0.2">
      <c r="A38" s="79" t="s">
        <v>1</v>
      </c>
      <c r="B38" s="96">
        <v>5454699.8399999999</v>
      </c>
      <c r="C38" s="96">
        <v>5076315.08</v>
      </c>
      <c r="D38" s="96">
        <v>5249805.92</v>
      </c>
      <c r="E38" s="96">
        <v>3674542.09</v>
      </c>
      <c r="F38" s="96">
        <v>5522279.7699999996</v>
      </c>
      <c r="G38" s="96">
        <v>6421855.7400000002</v>
      </c>
      <c r="H38" s="96">
        <v>5861078.2199999997</v>
      </c>
      <c r="I38" s="96">
        <v>6028361.3799999999</v>
      </c>
      <c r="J38" s="96">
        <v>5522139.7800000003</v>
      </c>
      <c r="K38" s="95">
        <v>9896797.7100000009</v>
      </c>
      <c r="L38" s="95">
        <f>'Academic Support (4.0)'!S236</f>
        <v>8179325.1000000024</v>
      </c>
      <c r="M38" s="95">
        <f>'Academic Support (4.0)'!T236</f>
        <v>2981301.3400000003</v>
      </c>
    </row>
    <row r="39" spans="1:13" ht="14.25" x14ac:dyDescent="0.2">
      <c r="A39" s="79" t="s">
        <v>218</v>
      </c>
      <c r="B39" s="96"/>
      <c r="C39" s="96"/>
      <c r="D39" s="96"/>
      <c r="E39" s="96"/>
      <c r="F39" s="96"/>
      <c r="G39" s="96"/>
      <c r="H39" s="96"/>
      <c r="I39" s="96"/>
      <c r="J39" s="95"/>
      <c r="K39" s="78"/>
      <c r="L39" s="79"/>
    </row>
    <row r="40" spans="1:13" ht="14.25" x14ac:dyDescent="0.2">
      <c r="A40" s="79" t="s">
        <v>219</v>
      </c>
      <c r="B40" s="96"/>
      <c r="C40" s="96"/>
      <c r="D40" s="96"/>
      <c r="E40" s="96"/>
      <c r="F40" s="96"/>
      <c r="G40" s="96"/>
      <c r="H40" s="96"/>
      <c r="I40" s="96"/>
      <c r="J40" s="95"/>
      <c r="K40" s="78"/>
      <c r="L40" s="79"/>
    </row>
    <row r="41" spans="1:13" ht="15" thickBot="1" x14ac:dyDescent="0.25">
      <c r="A41" s="79" t="s">
        <v>2</v>
      </c>
      <c r="B41" s="97">
        <f t="shared" ref="B41:M41" si="7">SUM(B36:B40)</f>
        <v>17459339.050000004</v>
      </c>
      <c r="C41" s="97">
        <f t="shared" si="7"/>
        <v>17739703.390000001</v>
      </c>
      <c r="D41" s="97">
        <f t="shared" si="7"/>
        <v>17667272.84</v>
      </c>
      <c r="E41" s="97">
        <f t="shared" si="7"/>
        <v>13661083.379999999</v>
      </c>
      <c r="F41" s="97">
        <f t="shared" si="7"/>
        <v>16645075.6</v>
      </c>
      <c r="G41" s="97">
        <f t="shared" si="7"/>
        <v>18530549.850000001</v>
      </c>
      <c r="H41" s="97">
        <f t="shared" si="7"/>
        <v>18425044.25</v>
      </c>
      <c r="I41" s="97">
        <f t="shared" si="7"/>
        <v>18624562.379999999</v>
      </c>
      <c r="J41" s="97">
        <f t="shared" si="7"/>
        <v>18056207.530000001</v>
      </c>
      <c r="K41" s="97">
        <f t="shared" si="7"/>
        <v>22168998.07</v>
      </c>
      <c r="L41" s="97">
        <f t="shared" si="7"/>
        <v>20889712.390000001</v>
      </c>
      <c r="M41" s="97">
        <f t="shared" si="7"/>
        <v>15290819.51</v>
      </c>
    </row>
    <row r="42" spans="1:13" ht="15" thickTop="1" x14ac:dyDescent="0.2">
      <c r="A42" s="78"/>
      <c r="B42" s="78"/>
      <c r="C42" s="78"/>
      <c r="D42" s="78"/>
      <c r="E42" s="78"/>
      <c r="F42" s="78"/>
      <c r="G42" s="78"/>
      <c r="H42" s="78"/>
      <c r="I42" s="78"/>
      <c r="J42" s="95"/>
      <c r="K42" s="78"/>
      <c r="L42" s="79"/>
    </row>
    <row r="43" spans="1:13" ht="15" x14ac:dyDescent="0.25">
      <c r="A43" s="83" t="s">
        <v>242</v>
      </c>
      <c r="B43" s="84" t="s">
        <v>7</v>
      </c>
      <c r="C43" s="84" t="s">
        <v>8</v>
      </c>
      <c r="D43" s="84" t="s">
        <v>9</v>
      </c>
      <c r="E43" s="84" t="s">
        <v>10</v>
      </c>
      <c r="F43" s="84" t="s">
        <v>236</v>
      </c>
      <c r="G43" s="84" t="s">
        <v>305</v>
      </c>
      <c r="H43" s="84" t="s">
        <v>306</v>
      </c>
      <c r="I43" s="84" t="s">
        <v>309</v>
      </c>
      <c r="J43" s="84" t="s">
        <v>314</v>
      </c>
      <c r="K43" s="84" t="s">
        <v>462</v>
      </c>
      <c r="L43" s="84" t="s">
        <v>474</v>
      </c>
      <c r="M43" s="84" t="s">
        <v>494</v>
      </c>
    </row>
    <row r="44" spans="1:13" ht="14.25" x14ac:dyDescent="0.2">
      <c r="A44" s="79" t="s">
        <v>213</v>
      </c>
      <c r="B44" s="96">
        <v>11528474.530000001</v>
      </c>
      <c r="C44" s="96">
        <v>11981298.219999999</v>
      </c>
      <c r="D44" s="96">
        <v>12070427.940000001</v>
      </c>
      <c r="E44" s="96">
        <v>11979374.679999998</v>
      </c>
      <c r="F44" s="96">
        <v>12633939.559999999</v>
      </c>
      <c r="G44" s="96">
        <v>13753736.09</v>
      </c>
      <c r="H44" s="96">
        <f>14802179-820778.1</f>
        <v>13981400.9</v>
      </c>
      <c r="I44" s="96">
        <f>14689305.57-774687.53</f>
        <v>13914618.040000001</v>
      </c>
      <c r="J44" s="96">
        <f>14172453.72-742831.39</f>
        <v>13429622.33</v>
      </c>
      <c r="K44" s="95">
        <v>13519959.850000001</v>
      </c>
      <c r="L44" s="95">
        <f>SUM('Student Services (5.0)'!S26:S73)-1584789.16</f>
        <v>14812939.430000003</v>
      </c>
      <c r="M44" s="95">
        <f>SUM('Student Services (5.0)'!T26:T73)-1542646.38</f>
        <v>14357126.170000002</v>
      </c>
    </row>
    <row r="45" spans="1:13" ht="14.25" x14ac:dyDescent="0.2">
      <c r="A45" s="79" t="s">
        <v>56</v>
      </c>
      <c r="B45" s="96">
        <v>4300810.3999999994</v>
      </c>
      <c r="C45" s="96">
        <v>4597668.4700000007</v>
      </c>
      <c r="D45" s="96">
        <v>4727149.68</v>
      </c>
      <c r="E45" s="96">
        <v>5260096.5199999996</v>
      </c>
      <c r="F45" s="96">
        <v>6571470.1999999983</v>
      </c>
      <c r="G45" s="96">
        <v>7248187.6100000022</v>
      </c>
      <c r="H45" s="96">
        <f>8458788.9-653568.83</f>
        <v>7805220.0700000003</v>
      </c>
      <c r="I45" s="96">
        <f>8488730.17-633103.83</f>
        <v>7855626.3399999999</v>
      </c>
      <c r="J45" s="96">
        <f>8585276.05-624688.21</f>
        <v>7960587.8400000008</v>
      </c>
      <c r="K45" s="95">
        <v>8644866.3399999999</v>
      </c>
      <c r="L45" s="95">
        <f>'Student Services (5.0)'!S89-1455891.21</f>
        <v>9314668.8599999994</v>
      </c>
      <c r="M45" s="95">
        <f>'Student Services (5.0)'!T89-1447240.37</f>
        <v>9896589.3399999999</v>
      </c>
    </row>
    <row r="46" spans="1:13" ht="14.25" x14ac:dyDescent="0.2">
      <c r="A46" s="79" t="s">
        <v>1</v>
      </c>
      <c r="B46" s="96">
        <v>2993761.15</v>
      </c>
      <c r="C46" s="96">
        <v>3600009.79</v>
      </c>
      <c r="D46" s="96">
        <v>3423477.21</v>
      </c>
      <c r="E46" s="96">
        <v>3807197.61</v>
      </c>
      <c r="F46" s="96">
        <v>3421170.58</v>
      </c>
      <c r="G46" s="96">
        <v>3144459.21</v>
      </c>
      <c r="H46" s="96">
        <v>3514026.7</v>
      </c>
      <c r="I46" s="96">
        <v>3478538.53</v>
      </c>
      <c r="J46" s="96">
        <v>4390889.4000000004</v>
      </c>
      <c r="K46" s="95">
        <v>4049146.6100000003</v>
      </c>
      <c r="L46" s="95">
        <f>'Student Services (5.0)'!S235</f>
        <v>7198341.29</v>
      </c>
      <c r="M46" s="95">
        <f>'Student Services (5.0)'!T235</f>
        <v>2425023.8499999996</v>
      </c>
    </row>
    <row r="47" spans="1:13" ht="14.25" x14ac:dyDescent="0.2">
      <c r="A47" s="79" t="s">
        <v>218</v>
      </c>
      <c r="B47" s="96"/>
      <c r="C47" s="96"/>
      <c r="D47" s="96"/>
      <c r="E47" s="96"/>
      <c r="F47" s="96"/>
      <c r="G47" s="96"/>
      <c r="H47" s="96"/>
      <c r="I47" s="96"/>
      <c r="J47" s="95"/>
      <c r="K47" s="78"/>
      <c r="L47" s="79"/>
      <c r="M47" s="79"/>
    </row>
    <row r="48" spans="1:13" ht="14.25" x14ac:dyDescent="0.2">
      <c r="A48" s="79" t="s">
        <v>219</v>
      </c>
      <c r="B48" s="96"/>
      <c r="C48" s="96"/>
      <c r="D48" s="96"/>
      <c r="E48" s="96"/>
      <c r="F48" s="96"/>
      <c r="G48" s="96"/>
      <c r="H48" s="96"/>
      <c r="I48" s="96"/>
      <c r="J48" s="95"/>
      <c r="K48" s="78"/>
      <c r="L48" s="79"/>
      <c r="M48" s="79"/>
    </row>
    <row r="49" spans="1:13" ht="15" thickBot="1" x14ac:dyDescent="0.25">
      <c r="A49" s="79" t="s">
        <v>2</v>
      </c>
      <c r="B49" s="97">
        <f t="shared" ref="B49:L49" si="8">SUM(B44:B48)</f>
        <v>18823046.079999998</v>
      </c>
      <c r="C49" s="97">
        <f t="shared" si="8"/>
        <v>20178976.48</v>
      </c>
      <c r="D49" s="97">
        <f t="shared" si="8"/>
        <v>20221054.830000002</v>
      </c>
      <c r="E49" s="97">
        <f t="shared" si="8"/>
        <v>21046668.809999995</v>
      </c>
      <c r="F49" s="97">
        <f t="shared" si="8"/>
        <v>22626580.339999996</v>
      </c>
      <c r="G49" s="97">
        <f t="shared" si="8"/>
        <v>24146382.910000004</v>
      </c>
      <c r="H49" s="97">
        <f t="shared" si="8"/>
        <v>25300647.669999998</v>
      </c>
      <c r="I49" s="97">
        <f t="shared" si="8"/>
        <v>25248782.910000004</v>
      </c>
      <c r="J49" s="97">
        <f t="shared" si="8"/>
        <v>25781099.57</v>
      </c>
      <c r="K49" s="97">
        <f t="shared" si="8"/>
        <v>26213972.800000001</v>
      </c>
      <c r="L49" s="97">
        <f t="shared" si="8"/>
        <v>31325949.580000002</v>
      </c>
      <c r="M49" s="97">
        <f t="shared" ref="M49" si="9">SUM(M44:M48)</f>
        <v>26678739.359999999</v>
      </c>
    </row>
    <row r="50" spans="1:13" ht="15" thickTop="1" x14ac:dyDescent="0.2">
      <c r="A50" s="78"/>
      <c r="B50" s="78"/>
      <c r="C50" s="78"/>
      <c r="D50" s="78"/>
      <c r="E50" s="78"/>
      <c r="F50" s="78"/>
      <c r="G50" s="78"/>
      <c r="H50" s="78"/>
      <c r="I50" s="78"/>
      <c r="J50" s="95"/>
      <c r="K50" s="78"/>
      <c r="L50" s="79"/>
    </row>
    <row r="51" spans="1:13" ht="15" x14ac:dyDescent="0.25">
      <c r="A51" s="83" t="s">
        <v>244</v>
      </c>
      <c r="B51" s="84" t="s">
        <v>7</v>
      </c>
      <c r="C51" s="84" t="s">
        <v>8</v>
      </c>
      <c r="D51" s="84" t="s">
        <v>9</v>
      </c>
      <c r="E51" s="84" t="s">
        <v>10</v>
      </c>
      <c r="F51" s="84" t="s">
        <v>236</v>
      </c>
      <c r="G51" s="84" t="s">
        <v>305</v>
      </c>
      <c r="H51" s="84" t="s">
        <v>306</v>
      </c>
      <c r="I51" s="84" t="s">
        <v>309</v>
      </c>
      <c r="J51" s="84" t="s">
        <v>314</v>
      </c>
      <c r="K51" s="84" t="s">
        <v>462</v>
      </c>
      <c r="L51" s="84" t="s">
        <v>474</v>
      </c>
      <c r="M51" s="84" t="s">
        <v>494</v>
      </c>
    </row>
    <row r="52" spans="1:13" ht="14.25" x14ac:dyDescent="0.2">
      <c r="A52" s="79" t="s">
        <v>213</v>
      </c>
      <c r="B52" s="96">
        <v>12937882.369999997</v>
      </c>
      <c r="C52" s="96">
        <v>13385103.889999999</v>
      </c>
      <c r="D52" s="96">
        <v>13413469.17</v>
      </c>
      <c r="E52" s="96">
        <v>13105469.530000001</v>
      </c>
      <c r="F52" s="96">
        <v>14180553.169999998</v>
      </c>
      <c r="G52" s="96">
        <v>15337261.810000001</v>
      </c>
      <c r="H52" s="99">
        <f>16224115.63-950881.89</f>
        <v>15273233.74</v>
      </c>
      <c r="I52" s="96">
        <f>15808180.73-887103.4</f>
        <v>14921077.33</v>
      </c>
      <c r="J52" s="96">
        <f>15561020.59-864992.53</f>
        <v>14696028.060000001</v>
      </c>
      <c r="K52" s="95">
        <v>12811609.800000001</v>
      </c>
      <c r="L52" s="95">
        <f>SUM('Institutional Support (6.0)'!S26:S72)-1339005.8</f>
        <v>11783203.209999997</v>
      </c>
      <c r="M52" s="95">
        <f>SUM('Institutional Support (6.0)'!T26:T72)-1387046.69</f>
        <v>12424486.800000001</v>
      </c>
    </row>
    <row r="53" spans="1:13" ht="14.25" x14ac:dyDescent="0.2">
      <c r="A53" s="79" t="s">
        <v>56</v>
      </c>
      <c r="B53" s="96">
        <v>5653392.8600000003</v>
      </c>
      <c r="C53" s="96">
        <v>5917273.1500000004</v>
      </c>
      <c r="D53" s="96">
        <v>6068601.3300000001</v>
      </c>
      <c r="E53" s="96">
        <v>6809657.0300000021</v>
      </c>
      <c r="F53" s="96">
        <v>8223315.509999997</v>
      </c>
      <c r="G53" s="96">
        <v>9373953.9400000013</v>
      </c>
      <c r="H53" s="96">
        <f>10690539.93-757167.82</f>
        <v>9933372.1099999994</v>
      </c>
      <c r="I53" s="96">
        <f>10718100.14-724974.31</f>
        <v>9993125.8300000001</v>
      </c>
      <c r="J53" s="96">
        <f>10939294.95-727420.3</f>
        <v>10211874.649999999</v>
      </c>
      <c r="K53" s="98">
        <v>7488003.1800000016</v>
      </c>
      <c r="L53" s="95">
        <f>'Institutional Support (6.0)'!S88-1230098.5</f>
        <v>8602478.4999999981</v>
      </c>
      <c r="M53" s="95">
        <f>'Institutional Support (6.0)'!T88-1301263.85</f>
        <v>9382867.2400000021</v>
      </c>
    </row>
    <row r="54" spans="1:13" ht="14.25" x14ac:dyDescent="0.2">
      <c r="A54" s="79" t="s">
        <v>1</v>
      </c>
      <c r="B54" s="96">
        <v>6006220.9800000014</v>
      </c>
      <c r="C54" s="96">
        <v>6159025.8699999992</v>
      </c>
      <c r="D54" s="96">
        <v>4670471.8300000019</v>
      </c>
      <c r="E54" s="96">
        <v>5355189.68</v>
      </c>
      <c r="F54" s="96">
        <v>5369960.9900000012</v>
      </c>
      <c r="G54" s="96">
        <v>5350712.3100000005</v>
      </c>
      <c r="H54" s="96">
        <v>5616297.839999998</v>
      </c>
      <c r="I54" s="96">
        <v>4665982.92</v>
      </c>
      <c r="J54" s="96">
        <v>5048957.41</v>
      </c>
      <c r="K54" s="98">
        <v>7138169.79</v>
      </c>
      <c r="L54" s="95">
        <f>'Institutional Support (6.0)'!S245</f>
        <v>6879533.3300000001</v>
      </c>
      <c r="M54" s="95">
        <f>'Institutional Support (6.0)'!T245</f>
        <v>8583463.7699999996</v>
      </c>
    </row>
    <row r="55" spans="1:13" ht="14.25" x14ac:dyDescent="0.2">
      <c r="A55" s="79" t="s">
        <v>218</v>
      </c>
      <c r="B55" s="96"/>
      <c r="C55" s="96"/>
      <c r="D55" s="96"/>
      <c r="E55" s="96"/>
      <c r="F55" s="96"/>
      <c r="G55" s="96"/>
      <c r="H55" s="96"/>
      <c r="I55" s="96"/>
      <c r="J55" s="96"/>
      <c r="K55" s="78"/>
      <c r="L55" s="79"/>
    </row>
    <row r="56" spans="1:13" ht="14.25" x14ac:dyDescent="0.2">
      <c r="A56" s="79" t="s">
        <v>219</v>
      </c>
      <c r="B56" s="96"/>
      <c r="C56" s="96"/>
      <c r="D56" s="96"/>
      <c r="E56" s="96"/>
      <c r="F56" s="96"/>
      <c r="G56" s="96"/>
      <c r="H56" s="96"/>
      <c r="I56" s="96"/>
      <c r="J56" s="96"/>
      <c r="K56" s="78"/>
      <c r="L56" s="79"/>
    </row>
    <row r="57" spans="1:13" ht="15" thickBot="1" x14ac:dyDescent="0.25">
      <c r="A57" s="79" t="s">
        <v>2</v>
      </c>
      <c r="B57" s="97">
        <f t="shared" ref="B57:M57" si="10">SUM(B52:B56)</f>
        <v>24597496.209999997</v>
      </c>
      <c r="C57" s="97">
        <f t="shared" si="10"/>
        <v>25461402.909999996</v>
      </c>
      <c r="D57" s="97">
        <f t="shared" si="10"/>
        <v>24152542.330000002</v>
      </c>
      <c r="E57" s="97">
        <f t="shared" si="10"/>
        <v>25270316.240000002</v>
      </c>
      <c r="F57" s="97">
        <f t="shared" si="10"/>
        <v>27773829.669999998</v>
      </c>
      <c r="G57" s="97">
        <f t="shared" si="10"/>
        <v>30061928.060000002</v>
      </c>
      <c r="H57" s="97">
        <f t="shared" si="10"/>
        <v>30822903.689999998</v>
      </c>
      <c r="I57" s="97">
        <f t="shared" si="10"/>
        <v>29580186.079999998</v>
      </c>
      <c r="J57" s="97">
        <f t="shared" si="10"/>
        <v>29956860.120000001</v>
      </c>
      <c r="K57" s="97">
        <f t="shared" si="10"/>
        <v>27437782.770000003</v>
      </c>
      <c r="L57" s="97">
        <f t="shared" si="10"/>
        <v>27265215.039999992</v>
      </c>
      <c r="M57" s="97">
        <f t="shared" si="10"/>
        <v>30390817.810000002</v>
      </c>
    </row>
    <row r="58" spans="1:13" ht="15" thickTop="1" x14ac:dyDescent="0.2">
      <c r="A58" s="78"/>
      <c r="B58" s="78"/>
      <c r="C58" s="78"/>
      <c r="D58" s="78"/>
      <c r="E58" s="78"/>
      <c r="F58" s="78"/>
      <c r="G58" s="78"/>
      <c r="H58" s="78"/>
      <c r="I58" s="78"/>
      <c r="J58" s="95"/>
      <c r="K58" s="78"/>
      <c r="L58" s="79"/>
    </row>
    <row r="59" spans="1:13" ht="15" x14ac:dyDescent="0.25">
      <c r="A59" s="83" t="s">
        <v>247</v>
      </c>
      <c r="B59" s="84" t="s">
        <v>7</v>
      </c>
      <c r="C59" s="84" t="s">
        <v>8</v>
      </c>
      <c r="D59" s="84" t="s">
        <v>9</v>
      </c>
      <c r="E59" s="84" t="s">
        <v>10</v>
      </c>
      <c r="F59" s="84" t="s">
        <v>236</v>
      </c>
      <c r="G59" s="84" t="s">
        <v>305</v>
      </c>
      <c r="H59" s="84" t="s">
        <v>306</v>
      </c>
      <c r="I59" s="84" t="s">
        <v>309</v>
      </c>
      <c r="J59" s="84" t="s">
        <v>314</v>
      </c>
      <c r="K59" s="84" t="s">
        <v>462</v>
      </c>
      <c r="L59" s="84" t="s">
        <v>474</v>
      </c>
      <c r="M59" s="84" t="s">
        <v>494</v>
      </c>
    </row>
    <row r="60" spans="1:13" ht="14.25" x14ac:dyDescent="0.2">
      <c r="A60" s="79" t="s">
        <v>213</v>
      </c>
      <c r="B60" s="96">
        <v>4798133.9400000013</v>
      </c>
      <c r="C60" s="96">
        <v>5188531.16</v>
      </c>
      <c r="D60" s="96">
        <v>5111046.6099999994</v>
      </c>
      <c r="E60" s="96">
        <v>5229333.4200000009</v>
      </c>
      <c r="F60" s="96">
        <v>5178374.93</v>
      </c>
      <c r="G60" s="96">
        <v>5408882</v>
      </c>
      <c r="H60" s="100">
        <v>5716297.7199999997</v>
      </c>
      <c r="I60" s="96">
        <v>5420248.2100000009</v>
      </c>
      <c r="J60" s="96">
        <v>5201195.7300000004</v>
      </c>
      <c r="K60" s="105">
        <v>9406059.4099999983</v>
      </c>
      <c r="L60" s="95">
        <f>SUM('Oper. &amp; Maint. of Plant (7.0)'!S26:S65)</f>
        <v>10129536.029999997</v>
      </c>
      <c r="M60" s="95">
        <f>SUM('Oper. &amp; Maint. of Plant (7.0)'!T26:T65)</f>
        <v>9908279.5899999999</v>
      </c>
    </row>
    <row r="61" spans="1:13" ht="14.25" x14ac:dyDescent="0.2">
      <c r="A61" s="79" t="s">
        <v>56</v>
      </c>
      <c r="B61" s="96">
        <v>3060681.95</v>
      </c>
      <c r="C61" s="96">
        <v>3292365.4699999997</v>
      </c>
      <c r="D61" s="96">
        <v>3390358.2900000005</v>
      </c>
      <c r="E61" s="96">
        <v>3716178.3400000003</v>
      </c>
      <c r="F61" s="96">
        <v>4119256.28</v>
      </c>
      <c r="G61" s="96">
        <v>4072398.83</v>
      </c>
      <c r="H61" s="96">
        <v>4551771.1099999994</v>
      </c>
      <c r="I61" s="96">
        <v>4429630.99</v>
      </c>
      <c r="J61" s="96">
        <v>4373974.63</v>
      </c>
      <c r="K61" s="106">
        <v>8526834.7999999989</v>
      </c>
      <c r="L61" s="95">
        <f>'Oper. &amp; Maint. of Plant (7.0)'!S79</f>
        <v>9305655.8600000031</v>
      </c>
      <c r="M61" s="95">
        <f>'Oper. &amp; Maint. of Plant (7.0)'!T79</f>
        <v>9295495.3200000022</v>
      </c>
    </row>
    <row r="62" spans="1:13" ht="14.25" x14ac:dyDescent="0.2">
      <c r="A62" s="79" t="s">
        <v>1</v>
      </c>
      <c r="B62" s="96">
        <v>14443780.740000006</v>
      </c>
      <c r="C62" s="96">
        <v>15760385.350000005</v>
      </c>
      <c r="D62" s="96">
        <v>10827387.140000002</v>
      </c>
      <c r="E62" s="96">
        <v>12305757.530000005</v>
      </c>
      <c r="F62" s="96">
        <v>12078393.650000006</v>
      </c>
      <c r="G62" s="96">
        <v>13174991.740000008</v>
      </c>
      <c r="H62" s="96">
        <v>17946280.199999999</v>
      </c>
      <c r="I62" s="96">
        <v>19229152.900000006</v>
      </c>
      <c r="J62" s="96">
        <v>24808324.600000001</v>
      </c>
      <c r="K62" s="105">
        <v>31160142.66</v>
      </c>
      <c r="L62" s="95">
        <f>'Oper. &amp; Maint. of Plant (7.0)'!S232</f>
        <v>27686711.180000007</v>
      </c>
      <c r="M62" s="95">
        <f>'Oper. &amp; Maint. of Plant (7.0)'!T232</f>
        <v>27415312.709999997</v>
      </c>
    </row>
    <row r="63" spans="1:13" ht="14.25" x14ac:dyDescent="0.2">
      <c r="A63" s="79" t="s">
        <v>218</v>
      </c>
      <c r="B63" s="96"/>
      <c r="C63" s="96"/>
      <c r="D63" s="96"/>
      <c r="E63" s="96"/>
      <c r="F63" s="96"/>
      <c r="G63" s="96"/>
      <c r="H63" s="96"/>
      <c r="I63" s="96"/>
      <c r="J63" s="96"/>
      <c r="K63" s="78"/>
      <c r="L63" s="79"/>
    </row>
    <row r="64" spans="1:13" ht="14.25" x14ac:dyDescent="0.2">
      <c r="A64" s="79" t="s">
        <v>219</v>
      </c>
      <c r="B64" s="96"/>
      <c r="C64" s="96"/>
      <c r="D64" s="96"/>
      <c r="E64" s="96"/>
      <c r="F64" s="96"/>
      <c r="G64" s="96"/>
      <c r="H64" s="96"/>
      <c r="I64" s="96"/>
      <c r="J64" s="96"/>
      <c r="K64" s="78"/>
      <c r="L64" s="79"/>
    </row>
    <row r="65" spans="1:13" ht="15" thickBot="1" x14ac:dyDescent="0.25">
      <c r="A65" s="79" t="s">
        <v>2</v>
      </c>
      <c r="B65" s="97">
        <f t="shared" ref="B65:M65" si="11">SUM(B60:B64)</f>
        <v>22302596.630000006</v>
      </c>
      <c r="C65" s="97">
        <f t="shared" si="11"/>
        <v>24241281.980000004</v>
      </c>
      <c r="D65" s="97">
        <f t="shared" si="11"/>
        <v>19328792.040000003</v>
      </c>
      <c r="E65" s="97">
        <f t="shared" si="11"/>
        <v>21251269.290000007</v>
      </c>
      <c r="F65" s="97">
        <f t="shared" si="11"/>
        <v>21376024.860000007</v>
      </c>
      <c r="G65" s="97">
        <f t="shared" si="11"/>
        <v>22656272.570000008</v>
      </c>
      <c r="H65" s="97">
        <f t="shared" si="11"/>
        <v>28214349.029999997</v>
      </c>
      <c r="I65" s="97">
        <f t="shared" si="11"/>
        <v>29079032.100000009</v>
      </c>
      <c r="J65" s="97">
        <f t="shared" si="11"/>
        <v>34383494.960000001</v>
      </c>
      <c r="K65" s="97">
        <f t="shared" si="11"/>
        <v>49093036.869999997</v>
      </c>
      <c r="L65" s="97">
        <f t="shared" si="11"/>
        <v>47121903.070000008</v>
      </c>
      <c r="M65" s="97">
        <f t="shared" si="11"/>
        <v>46619087.620000005</v>
      </c>
    </row>
    <row r="66" spans="1:13" ht="15" thickTop="1" x14ac:dyDescent="0.2">
      <c r="A66" s="78"/>
      <c r="B66" s="78"/>
      <c r="C66" s="78"/>
      <c r="D66" s="78"/>
      <c r="E66" s="78"/>
      <c r="F66" s="78"/>
      <c r="G66" s="78"/>
      <c r="H66" s="78"/>
      <c r="I66" s="78"/>
      <c r="J66" s="95"/>
      <c r="K66" s="78"/>
      <c r="L66" s="79"/>
    </row>
    <row r="67" spans="1:13" ht="15" x14ac:dyDescent="0.25">
      <c r="A67" s="83" t="s">
        <v>252</v>
      </c>
      <c r="B67" s="84" t="s">
        <v>7</v>
      </c>
      <c r="C67" s="84" t="s">
        <v>8</v>
      </c>
      <c r="D67" s="84" t="s">
        <v>9</v>
      </c>
      <c r="E67" s="84" t="s">
        <v>10</v>
      </c>
      <c r="F67" s="84" t="s">
        <v>236</v>
      </c>
      <c r="G67" s="84" t="s">
        <v>305</v>
      </c>
      <c r="H67" s="84" t="s">
        <v>306</v>
      </c>
      <c r="I67" s="84" t="s">
        <v>309</v>
      </c>
      <c r="J67" s="84" t="s">
        <v>314</v>
      </c>
      <c r="K67" s="84" t="s">
        <v>462</v>
      </c>
      <c r="L67" s="84" t="s">
        <v>474</v>
      </c>
      <c r="M67" s="84" t="s">
        <v>494</v>
      </c>
    </row>
    <row r="68" spans="1:13" ht="14.25" x14ac:dyDescent="0.2">
      <c r="A68" s="79" t="s">
        <v>213</v>
      </c>
      <c r="B68" s="95">
        <v>0</v>
      </c>
      <c r="C68" s="95">
        <v>0</v>
      </c>
      <c r="D68" s="95">
        <v>0</v>
      </c>
      <c r="E68" s="95">
        <v>0</v>
      </c>
      <c r="F68" s="95">
        <v>0</v>
      </c>
      <c r="G68" s="95">
        <v>0</v>
      </c>
      <c r="H68" s="95">
        <v>0</v>
      </c>
      <c r="I68" s="96">
        <v>0</v>
      </c>
      <c r="J68" s="96">
        <v>0</v>
      </c>
      <c r="K68" s="96">
        <v>0</v>
      </c>
      <c r="L68" s="96">
        <v>0</v>
      </c>
      <c r="M68" s="96">
        <v>0</v>
      </c>
    </row>
    <row r="69" spans="1:13" ht="14.25" x14ac:dyDescent="0.2">
      <c r="A69" s="79" t="s">
        <v>56</v>
      </c>
      <c r="B69" s="95">
        <v>0</v>
      </c>
      <c r="C69" s="95">
        <v>0</v>
      </c>
      <c r="D69" s="95">
        <v>0</v>
      </c>
      <c r="E69" s="95">
        <v>0</v>
      </c>
      <c r="F69" s="95">
        <v>0</v>
      </c>
      <c r="G69" s="95">
        <v>0</v>
      </c>
      <c r="H69" s="95">
        <v>0</v>
      </c>
      <c r="I69" s="96">
        <v>0</v>
      </c>
      <c r="J69" s="96">
        <v>0</v>
      </c>
      <c r="K69" s="96">
        <v>0</v>
      </c>
      <c r="L69" s="96">
        <v>0</v>
      </c>
      <c r="M69" s="96">
        <v>0</v>
      </c>
    </row>
    <row r="70" spans="1:13" ht="14.25" x14ac:dyDescent="0.2">
      <c r="A70" s="79" t="s">
        <v>1</v>
      </c>
      <c r="B70" s="96">
        <v>13108618.289999999</v>
      </c>
      <c r="C70" s="96">
        <v>13409887.75</v>
      </c>
      <c r="D70" s="96">
        <v>13365550.49</v>
      </c>
      <c r="E70" s="96">
        <v>13810692.039999999</v>
      </c>
      <c r="F70" s="96">
        <v>15371406.32</v>
      </c>
      <c r="G70" s="96">
        <v>15610872.310000001</v>
      </c>
      <c r="H70" s="96">
        <v>17721493.809999999</v>
      </c>
      <c r="I70" s="96">
        <v>18262832.91</v>
      </c>
      <c r="J70" s="96">
        <v>17221042.350000001</v>
      </c>
      <c r="K70" s="95">
        <v>17426635.940000001</v>
      </c>
      <c r="L70" s="95">
        <f>'Depreciation (7.7)'!S191</f>
        <v>16754466.43</v>
      </c>
      <c r="M70" s="95">
        <f>'Depreciation (7.7)'!T191</f>
        <v>15874705.84</v>
      </c>
    </row>
    <row r="71" spans="1:13" ht="14.25" x14ac:dyDescent="0.2">
      <c r="A71" s="79" t="s">
        <v>218</v>
      </c>
      <c r="B71" s="96"/>
      <c r="C71" s="96"/>
      <c r="D71" s="96"/>
      <c r="E71" s="96"/>
      <c r="F71" s="96"/>
      <c r="G71" s="96"/>
      <c r="H71" s="96"/>
      <c r="I71" s="96"/>
      <c r="J71" s="96"/>
      <c r="K71" s="78"/>
      <c r="L71" s="79"/>
      <c r="M71" s="79"/>
    </row>
    <row r="72" spans="1:13" ht="14.25" x14ac:dyDescent="0.2">
      <c r="A72" s="79" t="s">
        <v>219</v>
      </c>
      <c r="B72" s="96"/>
      <c r="C72" s="96"/>
      <c r="D72" s="96"/>
      <c r="E72" s="96"/>
      <c r="F72" s="96"/>
      <c r="G72" s="96"/>
      <c r="H72" s="96"/>
      <c r="I72" s="96"/>
      <c r="J72" s="96"/>
      <c r="K72" s="78"/>
      <c r="L72" s="79"/>
      <c r="M72" s="79"/>
    </row>
    <row r="73" spans="1:13" ht="15" thickBot="1" x14ac:dyDescent="0.25">
      <c r="A73" s="79" t="s">
        <v>2</v>
      </c>
      <c r="B73" s="97">
        <f t="shared" ref="B73:L73" si="12">SUM(B68:B72)</f>
        <v>13108618.289999999</v>
      </c>
      <c r="C73" s="97">
        <f t="shared" si="12"/>
        <v>13409887.75</v>
      </c>
      <c r="D73" s="97">
        <f t="shared" si="12"/>
        <v>13365550.49</v>
      </c>
      <c r="E73" s="97">
        <f t="shared" si="12"/>
        <v>13810692.039999999</v>
      </c>
      <c r="F73" s="97">
        <f t="shared" si="12"/>
        <v>15371406.32</v>
      </c>
      <c r="G73" s="97">
        <f t="shared" si="12"/>
        <v>15610872.310000001</v>
      </c>
      <c r="H73" s="97">
        <f t="shared" si="12"/>
        <v>17721493.809999999</v>
      </c>
      <c r="I73" s="97">
        <f t="shared" si="12"/>
        <v>18262832.91</v>
      </c>
      <c r="J73" s="97">
        <f t="shared" si="12"/>
        <v>17221042.350000001</v>
      </c>
      <c r="K73" s="97">
        <f t="shared" si="12"/>
        <v>17426635.940000001</v>
      </c>
      <c r="L73" s="97">
        <f t="shared" si="12"/>
        <v>16754466.43</v>
      </c>
      <c r="M73" s="97">
        <f t="shared" ref="M73" si="13">SUM(M68:M72)</f>
        <v>15874705.84</v>
      </c>
    </row>
    <row r="74" spans="1:13" ht="15" thickTop="1" x14ac:dyDescent="0.2">
      <c r="A74" s="78"/>
      <c r="B74" s="78"/>
      <c r="C74" s="78"/>
      <c r="D74" s="78"/>
      <c r="E74" s="78"/>
      <c r="F74" s="78"/>
      <c r="G74" s="78"/>
      <c r="H74" s="78"/>
      <c r="I74" s="78"/>
      <c r="J74" s="95"/>
      <c r="K74" s="78"/>
      <c r="L74" s="79"/>
    </row>
    <row r="75" spans="1:13" ht="15" x14ac:dyDescent="0.25">
      <c r="A75" s="83" t="s">
        <v>249</v>
      </c>
      <c r="B75" s="84" t="s">
        <v>7</v>
      </c>
      <c r="C75" s="84" t="s">
        <v>8</v>
      </c>
      <c r="D75" s="84" t="s">
        <v>9</v>
      </c>
      <c r="E75" s="84" t="s">
        <v>10</v>
      </c>
      <c r="F75" s="84" t="s">
        <v>236</v>
      </c>
      <c r="G75" s="84" t="s">
        <v>305</v>
      </c>
      <c r="H75" s="84" t="s">
        <v>306</v>
      </c>
      <c r="I75" s="84" t="s">
        <v>309</v>
      </c>
      <c r="J75" s="84" t="s">
        <v>314</v>
      </c>
      <c r="K75" s="84" t="s">
        <v>462</v>
      </c>
      <c r="L75" s="84" t="s">
        <v>474</v>
      </c>
      <c r="M75" s="84" t="s">
        <v>494</v>
      </c>
    </row>
    <row r="76" spans="1:13" ht="14.25" x14ac:dyDescent="0.2">
      <c r="A76" s="79" t="s">
        <v>213</v>
      </c>
      <c r="B76" s="95">
        <v>0</v>
      </c>
      <c r="C76" s="95">
        <v>0</v>
      </c>
      <c r="D76" s="95">
        <v>0</v>
      </c>
      <c r="E76" s="95">
        <v>0</v>
      </c>
      <c r="F76" s="95">
        <v>0</v>
      </c>
      <c r="G76" s="95">
        <v>0</v>
      </c>
      <c r="H76" s="95">
        <v>0</v>
      </c>
      <c r="I76" s="96">
        <v>0</v>
      </c>
      <c r="J76" s="96">
        <v>0</v>
      </c>
      <c r="K76" s="96">
        <v>0</v>
      </c>
      <c r="L76" s="96">
        <v>0</v>
      </c>
      <c r="M76" s="96">
        <v>0</v>
      </c>
    </row>
    <row r="77" spans="1:13" ht="14.25" x14ac:dyDescent="0.2">
      <c r="A77" s="79" t="s">
        <v>56</v>
      </c>
      <c r="B77" s="95">
        <v>0</v>
      </c>
      <c r="C77" s="95">
        <v>0</v>
      </c>
      <c r="D77" s="95">
        <v>0</v>
      </c>
      <c r="E77" s="95">
        <v>0</v>
      </c>
      <c r="F77" s="95">
        <v>0</v>
      </c>
      <c r="G77" s="95">
        <v>0</v>
      </c>
      <c r="H77" s="95">
        <v>0</v>
      </c>
      <c r="I77" s="96">
        <v>0</v>
      </c>
      <c r="J77" s="96">
        <v>0</v>
      </c>
      <c r="K77" s="96">
        <v>0</v>
      </c>
      <c r="L77" s="96">
        <v>0</v>
      </c>
      <c r="M77" s="96">
        <v>0</v>
      </c>
    </row>
    <row r="78" spans="1:13" ht="14.25" x14ac:dyDescent="0.2">
      <c r="A78" s="79" t="s">
        <v>1</v>
      </c>
      <c r="B78" s="96">
        <v>25004892.710000001</v>
      </c>
      <c r="C78" s="96">
        <v>23802106.41</v>
      </c>
      <c r="D78" s="96">
        <v>20883682.18</v>
      </c>
      <c r="E78" s="96">
        <v>21356359.559999999</v>
      </c>
      <c r="F78" s="96">
        <v>21777987.050000001</v>
      </c>
      <c r="G78" s="96">
        <v>24229943.149999999</v>
      </c>
      <c r="H78" s="96">
        <v>24675054.16</v>
      </c>
      <c r="I78" s="96">
        <v>23705778.600000001</v>
      </c>
      <c r="J78" s="96">
        <v>27360490.239999998</v>
      </c>
      <c r="K78" s="95">
        <v>27222072.720000003</v>
      </c>
      <c r="L78" s="95">
        <f>'Scholarships (8.0)'!S205</f>
        <v>30628313.549999993</v>
      </c>
      <c r="M78" s="95">
        <f>'Scholarships (8.0)'!T205</f>
        <v>31476155.949999996</v>
      </c>
    </row>
    <row r="79" spans="1:13" ht="14.25" x14ac:dyDescent="0.2">
      <c r="A79" s="79" t="s">
        <v>218</v>
      </c>
      <c r="B79" s="96"/>
      <c r="C79" s="96"/>
      <c r="D79" s="96"/>
      <c r="E79" s="96"/>
      <c r="F79" s="96"/>
      <c r="G79" s="96"/>
      <c r="H79" s="96"/>
      <c r="I79" s="96"/>
      <c r="J79" s="96"/>
      <c r="K79" s="78"/>
      <c r="L79" s="79"/>
    </row>
    <row r="80" spans="1:13" ht="14.25" x14ac:dyDescent="0.2">
      <c r="A80" s="79" t="s">
        <v>219</v>
      </c>
      <c r="B80" s="96"/>
      <c r="C80" s="96"/>
      <c r="D80" s="96"/>
      <c r="E80" s="96"/>
      <c r="F80" s="96"/>
      <c r="G80" s="96"/>
      <c r="H80" s="96"/>
      <c r="I80" s="96"/>
      <c r="J80" s="96"/>
      <c r="K80" s="78"/>
      <c r="L80" s="79"/>
    </row>
    <row r="81" spans="1:13" ht="15" thickBot="1" x14ac:dyDescent="0.25">
      <c r="A81" s="79" t="s">
        <v>2</v>
      </c>
      <c r="B81" s="97">
        <f t="shared" ref="B81:M81" si="14">SUM(B76:B80)</f>
        <v>25004892.710000001</v>
      </c>
      <c r="C81" s="97">
        <f t="shared" si="14"/>
        <v>23802106.41</v>
      </c>
      <c r="D81" s="97">
        <f t="shared" si="14"/>
        <v>20883682.18</v>
      </c>
      <c r="E81" s="97">
        <f t="shared" si="14"/>
        <v>21356359.559999999</v>
      </c>
      <c r="F81" s="97">
        <f t="shared" si="14"/>
        <v>21777987.050000001</v>
      </c>
      <c r="G81" s="97">
        <f t="shared" si="14"/>
        <v>24229943.149999999</v>
      </c>
      <c r="H81" s="97">
        <f t="shared" si="14"/>
        <v>24675054.16</v>
      </c>
      <c r="I81" s="97">
        <f t="shared" si="14"/>
        <v>23705778.600000001</v>
      </c>
      <c r="J81" s="97">
        <f t="shared" si="14"/>
        <v>27360490.239999998</v>
      </c>
      <c r="K81" s="97">
        <f t="shared" si="14"/>
        <v>27222072.720000003</v>
      </c>
      <c r="L81" s="97">
        <f t="shared" si="14"/>
        <v>30628313.549999993</v>
      </c>
      <c r="M81" s="97">
        <f t="shared" si="14"/>
        <v>31476155.949999996</v>
      </c>
    </row>
    <row r="82" spans="1:13" ht="15" thickTop="1" x14ac:dyDescent="0.2">
      <c r="A82" s="78"/>
      <c r="B82" s="78"/>
      <c r="C82" s="78"/>
      <c r="D82" s="78"/>
      <c r="E82" s="78"/>
      <c r="F82" s="78"/>
      <c r="G82" s="78"/>
      <c r="H82" s="78"/>
      <c r="I82" s="78"/>
      <c r="J82" s="95"/>
      <c r="K82" s="78"/>
      <c r="L82" s="79"/>
    </row>
    <row r="83" spans="1:13" ht="15" x14ac:dyDescent="0.25">
      <c r="A83" s="83" t="s">
        <v>251</v>
      </c>
      <c r="B83" s="84" t="s">
        <v>7</v>
      </c>
      <c r="C83" s="84" t="s">
        <v>8</v>
      </c>
      <c r="D83" s="84" t="s">
        <v>9</v>
      </c>
      <c r="E83" s="84" t="s">
        <v>10</v>
      </c>
      <c r="F83" s="84" t="s">
        <v>236</v>
      </c>
      <c r="G83" s="84" t="s">
        <v>305</v>
      </c>
      <c r="H83" s="84" t="s">
        <v>306</v>
      </c>
      <c r="I83" s="84" t="s">
        <v>309</v>
      </c>
      <c r="J83" s="84" t="s">
        <v>314</v>
      </c>
      <c r="K83" s="84" t="s">
        <v>462</v>
      </c>
      <c r="L83" s="84" t="s">
        <v>474</v>
      </c>
      <c r="M83" s="84" t="s">
        <v>494</v>
      </c>
    </row>
    <row r="84" spans="1:13" ht="14.25" x14ac:dyDescent="0.2">
      <c r="A84" s="79" t="s">
        <v>213</v>
      </c>
      <c r="B84" s="96">
        <v>780523.62</v>
      </c>
      <c r="C84" s="96">
        <v>750759.16999999993</v>
      </c>
      <c r="D84" s="96">
        <v>742090.65</v>
      </c>
      <c r="E84" s="96">
        <v>771633.13000000012</v>
      </c>
      <c r="F84" s="96">
        <v>745651.85</v>
      </c>
      <c r="G84" s="96">
        <v>913238.41999999993</v>
      </c>
      <c r="H84" s="96">
        <f>938650.8-51062.02</f>
        <v>887588.78</v>
      </c>
      <c r="I84" s="96">
        <f>967828.64-49365.53</f>
        <v>918463.11</v>
      </c>
      <c r="J84" s="96">
        <f>1029382.94-52118.69</f>
        <v>977264.25</v>
      </c>
      <c r="K84" s="95">
        <v>943464.39000000013</v>
      </c>
      <c r="L84" s="95">
        <f>SUM('Auxiliary Enterprises (9.0)'!S26:S65)-105483.38</f>
        <v>1035331.4199999998</v>
      </c>
      <c r="M84" s="95">
        <f>SUM('Auxiliary Enterprises (9.0)'!T26:T65)-86511.75</f>
        <v>830180.42</v>
      </c>
    </row>
    <row r="85" spans="1:13" ht="14.25" x14ac:dyDescent="0.2">
      <c r="A85" s="79" t="s">
        <v>56</v>
      </c>
      <c r="B85" s="96">
        <v>286418.2</v>
      </c>
      <c r="C85" s="96">
        <v>302972.18999999994</v>
      </c>
      <c r="D85" s="96">
        <v>278316.81</v>
      </c>
      <c r="E85" s="96">
        <v>351630.18000000005</v>
      </c>
      <c r="F85" s="96">
        <v>376870.42000000004</v>
      </c>
      <c r="G85" s="96">
        <v>426575.32</v>
      </c>
      <c r="H85" s="96">
        <f>505041.62-40659.64</f>
        <v>464381.98</v>
      </c>
      <c r="I85" s="96">
        <f>508305.93-40343.37</f>
        <v>467962.56</v>
      </c>
      <c r="J85" s="96">
        <f>567349.58-43829.5</f>
        <v>523520.07999999996</v>
      </c>
      <c r="K85" s="98">
        <v>543773.25999999989</v>
      </c>
      <c r="L85" s="95">
        <f>'Auxiliary Enterprises (9.0)'!S78-96903.95</f>
        <v>570599.42000000004</v>
      </c>
      <c r="M85" s="95">
        <f>'Auxiliary Enterprises (9.0)'!T78-81161.37</f>
        <v>529970.13</v>
      </c>
    </row>
    <row r="86" spans="1:13" ht="14.25" x14ac:dyDescent="0.2">
      <c r="A86" s="79" t="s">
        <v>1</v>
      </c>
      <c r="B86" s="96">
        <v>8907982.1999999955</v>
      </c>
      <c r="C86" s="96">
        <v>9126195.3399999999</v>
      </c>
      <c r="D86" s="96">
        <v>9162730.9900000021</v>
      </c>
      <c r="E86" s="96">
        <v>9449921.0400000028</v>
      </c>
      <c r="F86" s="96">
        <v>9841611.0900000054</v>
      </c>
      <c r="G86" s="96">
        <v>9924185.2500000019</v>
      </c>
      <c r="H86" s="96">
        <v>11080223.470000001</v>
      </c>
      <c r="I86" s="96">
        <v>11011098.26</v>
      </c>
      <c r="J86" s="96">
        <v>9206730.8900000006</v>
      </c>
      <c r="K86" s="95">
        <v>9673290.0600000024</v>
      </c>
      <c r="L86" s="95">
        <f>'Auxiliary Enterprises (9.0)'!S196</f>
        <v>4873475.2599999979</v>
      </c>
      <c r="M86" s="95">
        <f>'Auxiliary Enterprises (9.0)'!T196</f>
        <v>6892533.7300000004</v>
      </c>
    </row>
    <row r="87" spans="1:13" ht="14.25" x14ac:dyDescent="0.2">
      <c r="A87" s="79" t="s">
        <v>218</v>
      </c>
      <c r="B87" s="96"/>
      <c r="C87" s="96"/>
      <c r="D87" s="96"/>
      <c r="E87" s="96"/>
      <c r="F87" s="96"/>
      <c r="G87" s="96"/>
      <c r="H87" s="96"/>
      <c r="I87" s="96"/>
      <c r="J87" s="96"/>
      <c r="K87" s="78"/>
      <c r="L87" s="79"/>
      <c r="M87" s="79"/>
    </row>
    <row r="88" spans="1:13" ht="14.25" x14ac:dyDescent="0.2">
      <c r="A88" s="79" t="s">
        <v>219</v>
      </c>
      <c r="B88" s="96"/>
      <c r="C88" s="96"/>
      <c r="D88" s="96"/>
      <c r="E88" s="96"/>
      <c r="F88" s="96"/>
      <c r="G88" s="96"/>
      <c r="H88" s="96"/>
      <c r="I88" s="96"/>
      <c r="J88" s="96"/>
      <c r="K88" s="78"/>
      <c r="L88" s="79"/>
    </row>
    <row r="89" spans="1:13" ht="15" thickBot="1" x14ac:dyDescent="0.25">
      <c r="A89" s="79" t="s">
        <v>2</v>
      </c>
      <c r="B89" s="97">
        <f t="shared" ref="B89:M89" si="15">SUM(B84:B88)</f>
        <v>9974924.0199999958</v>
      </c>
      <c r="C89" s="97">
        <f t="shared" si="15"/>
        <v>10179926.699999999</v>
      </c>
      <c r="D89" s="97">
        <f t="shared" si="15"/>
        <v>10183138.450000003</v>
      </c>
      <c r="E89" s="97">
        <f t="shared" si="15"/>
        <v>10573184.350000003</v>
      </c>
      <c r="F89" s="97">
        <f t="shared" si="15"/>
        <v>10964133.360000005</v>
      </c>
      <c r="G89" s="97">
        <f t="shared" si="15"/>
        <v>11263998.990000002</v>
      </c>
      <c r="H89" s="97">
        <f t="shared" si="15"/>
        <v>12432194.23</v>
      </c>
      <c r="I89" s="97">
        <f t="shared" si="15"/>
        <v>12397523.93</v>
      </c>
      <c r="J89" s="97">
        <f t="shared" si="15"/>
        <v>10707515.220000001</v>
      </c>
      <c r="K89" s="97">
        <f t="shared" si="15"/>
        <v>11160527.710000003</v>
      </c>
      <c r="L89" s="97">
        <f t="shared" si="15"/>
        <v>6479406.0999999978</v>
      </c>
      <c r="M89" s="97">
        <f t="shared" si="15"/>
        <v>8252684.2800000003</v>
      </c>
    </row>
    <row r="90" spans="1:13" ht="15" thickTop="1" x14ac:dyDescent="0.2">
      <c r="A90" s="78"/>
      <c r="B90" s="78"/>
      <c r="C90" s="78"/>
      <c r="D90" s="78"/>
      <c r="E90" s="78"/>
      <c r="F90" s="78"/>
      <c r="G90" s="78"/>
      <c r="H90" s="78"/>
      <c r="I90" s="78"/>
      <c r="J90" s="78"/>
      <c r="K90" s="78"/>
      <c r="L90" s="79"/>
    </row>
    <row r="91" spans="1:13" ht="14.25" x14ac:dyDescent="0.2">
      <c r="A91" s="101"/>
      <c r="B91" s="101"/>
      <c r="C91" s="101"/>
      <c r="D91" s="101"/>
      <c r="E91" s="101"/>
      <c r="F91" s="101"/>
      <c r="G91" s="101"/>
      <c r="H91" s="101"/>
      <c r="I91" s="101"/>
      <c r="J91" s="101"/>
      <c r="K91" s="101"/>
      <c r="L91" s="101"/>
      <c r="M91" s="101"/>
    </row>
    <row r="92" spans="1:13" ht="15" x14ac:dyDescent="0.25">
      <c r="A92" s="85" t="s">
        <v>485</v>
      </c>
      <c r="B92" s="86" t="s">
        <v>7</v>
      </c>
      <c r="C92" s="86" t="s">
        <v>8</v>
      </c>
      <c r="D92" s="86" t="s">
        <v>9</v>
      </c>
      <c r="E92" s="86" t="s">
        <v>10</v>
      </c>
      <c r="F92" s="86" t="s">
        <v>236</v>
      </c>
      <c r="G92" s="86" t="s">
        <v>305</v>
      </c>
      <c r="H92" s="86" t="s">
        <v>306</v>
      </c>
      <c r="I92" s="86" t="s">
        <v>309</v>
      </c>
      <c r="J92" s="86" t="s">
        <v>314</v>
      </c>
      <c r="K92" s="86" t="s">
        <v>462</v>
      </c>
      <c r="L92" s="86" t="s">
        <v>474</v>
      </c>
      <c r="M92" s="86" t="s">
        <v>494</v>
      </c>
    </row>
    <row r="93" spans="1:13" ht="14.25" x14ac:dyDescent="0.2">
      <c r="A93" s="101" t="s">
        <v>213</v>
      </c>
      <c r="B93" s="102">
        <f t="shared" ref="B93:M93" si="16">B28+B36+B44+B52+B60+B76+B84</f>
        <v>85414457.390000001</v>
      </c>
      <c r="C93" s="102">
        <f t="shared" si="16"/>
        <v>90679687.199999988</v>
      </c>
      <c r="D93" s="102">
        <f t="shared" si="16"/>
        <v>91979248.890000001</v>
      </c>
      <c r="E93" s="102">
        <f t="shared" si="16"/>
        <v>91311190.960000008</v>
      </c>
      <c r="F93" s="102">
        <f t="shared" si="16"/>
        <v>95313126.23999998</v>
      </c>
      <c r="G93" s="102">
        <f t="shared" si="16"/>
        <v>104862959.45999999</v>
      </c>
      <c r="H93" s="102">
        <f t="shared" si="16"/>
        <v>104357111.36999999</v>
      </c>
      <c r="I93" s="102">
        <f t="shared" si="16"/>
        <v>103510957.29000001</v>
      </c>
      <c r="J93" s="102">
        <f t="shared" si="16"/>
        <v>100099072.48</v>
      </c>
      <c r="K93" s="102">
        <f t="shared" si="16"/>
        <v>103072181.85999998</v>
      </c>
      <c r="L93" s="102">
        <f t="shared" si="16"/>
        <v>105820472.73999999</v>
      </c>
      <c r="M93" s="102">
        <f t="shared" si="16"/>
        <v>104289845.32000002</v>
      </c>
    </row>
    <row r="94" spans="1:13" ht="14.25" x14ac:dyDescent="0.2">
      <c r="A94" s="101" t="s">
        <v>56</v>
      </c>
      <c r="B94" s="102">
        <f t="shared" ref="B94:M94" si="17">B29+B37+B45+B53+B61+B77+B85</f>
        <v>32175789.049999997</v>
      </c>
      <c r="C94" s="102">
        <f t="shared" si="17"/>
        <v>34008590.559999995</v>
      </c>
      <c r="D94" s="102">
        <f t="shared" si="17"/>
        <v>34878353.359999999</v>
      </c>
      <c r="E94" s="102">
        <f t="shared" si="17"/>
        <v>40056724.980000004</v>
      </c>
      <c r="F94" s="102">
        <f t="shared" si="17"/>
        <v>48372003.960000001</v>
      </c>
      <c r="G94" s="102">
        <f t="shared" si="17"/>
        <v>53381006.779999994</v>
      </c>
      <c r="H94" s="102">
        <f t="shared" si="17"/>
        <v>57261550.219999999</v>
      </c>
      <c r="I94" s="102">
        <f t="shared" si="17"/>
        <v>58566007.56000001</v>
      </c>
      <c r="J94" s="102">
        <f t="shared" si="17"/>
        <v>59247191.420000002</v>
      </c>
      <c r="K94" s="102">
        <f t="shared" si="17"/>
        <v>64720367.299999997</v>
      </c>
      <c r="L94" s="102">
        <f t="shared" si="17"/>
        <v>67831749.549999997</v>
      </c>
      <c r="M94" s="102">
        <f t="shared" si="17"/>
        <v>70693372.489999995</v>
      </c>
    </row>
    <row r="95" spans="1:13" ht="14.25" x14ac:dyDescent="0.2">
      <c r="A95" s="101" t="s">
        <v>1</v>
      </c>
      <c r="B95" s="102">
        <f t="shared" ref="B95:M95" si="18">B30+B38+B46+B54+B62+B78+B86</f>
        <v>67712758.680000007</v>
      </c>
      <c r="C95" s="102">
        <f t="shared" si="18"/>
        <v>69872160.300000012</v>
      </c>
      <c r="D95" s="102">
        <f t="shared" si="18"/>
        <v>59988916.770000003</v>
      </c>
      <c r="E95" s="102">
        <f t="shared" si="18"/>
        <v>62013680.680000007</v>
      </c>
      <c r="F95" s="102">
        <f t="shared" si="18"/>
        <v>64163674.060000017</v>
      </c>
      <c r="G95" s="102">
        <f t="shared" si="18"/>
        <v>68166947.750000015</v>
      </c>
      <c r="H95" s="102">
        <f t="shared" si="18"/>
        <v>75441316.289999992</v>
      </c>
      <c r="I95" s="102">
        <f t="shared" si="18"/>
        <v>73922727.74000001</v>
      </c>
      <c r="J95" s="102">
        <f t="shared" si="18"/>
        <v>82969037.670000002</v>
      </c>
      <c r="K95" s="102">
        <f t="shared" si="18"/>
        <v>94688562.210000008</v>
      </c>
      <c r="L95" s="102">
        <f t="shared" si="18"/>
        <v>89753585.680000007</v>
      </c>
      <c r="M95" s="102">
        <f t="shared" si="18"/>
        <v>83092073.399999991</v>
      </c>
    </row>
    <row r="96" spans="1:13" ht="15.75" thickBot="1" x14ac:dyDescent="0.3">
      <c r="A96" s="101" t="s">
        <v>486</v>
      </c>
      <c r="B96" s="87">
        <f t="shared" ref="B96:M96" si="19">SUM(B93:B95)</f>
        <v>185303005.12</v>
      </c>
      <c r="C96" s="87">
        <f t="shared" si="19"/>
        <v>194560438.06</v>
      </c>
      <c r="D96" s="87">
        <f t="shared" si="19"/>
        <v>186846519.02000001</v>
      </c>
      <c r="E96" s="87">
        <f t="shared" si="19"/>
        <v>193381596.62</v>
      </c>
      <c r="F96" s="87">
        <f t="shared" si="19"/>
        <v>207848804.25999999</v>
      </c>
      <c r="G96" s="87">
        <f t="shared" si="19"/>
        <v>226410913.99000001</v>
      </c>
      <c r="H96" s="87">
        <f t="shared" si="19"/>
        <v>237059977.87999997</v>
      </c>
      <c r="I96" s="87">
        <f t="shared" si="19"/>
        <v>235999692.59000003</v>
      </c>
      <c r="J96" s="87">
        <f t="shared" si="19"/>
        <v>242315301.56999999</v>
      </c>
      <c r="K96" s="87">
        <f t="shared" si="19"/>
        <v>262481111.36999997</v>
      </c>
      <c r="L96" s="87">
        <f t="shared" si="19"/>
        <v>263405807.97</v>
      </c>
      <c r="M96" s="87">
        <f t="shared" si="19"/>
        <v>258075291.20999998</v>
      </c>
    </row>
    <row r="97" spans="1:13" ht="15" thickTop="1" x14ac:dyDescent="0.2">
      <c r="A97" s="101"/>
      <c r="B97" s="101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</row>
    <row r="98" spans="1:13" ht="15" x14ac:dyDescent="0.25">
      <c r="A98" s="85" t="s">
        <v>487</v>
      </c>
      <c r="B98" s="86" t="s">
        <v>7</v>
      </c>
      <c r="C98" s="86" t="s">
        <v>8</v>
      </c>
      <c r="D98" s="86" t="s">
        <v>9</v>
      </c>
      <c r="E98" s="86" t="s">
        <v>10</v>
      </c>
      <c r="F98" s="86" t="s">
        <v>236</v>
      </c>
      <c r="G98" s="86" t="s">
        <v>305</v>
      </c>
      <c r="H98" s="86" t="s">
        <v>306</v>
      </c>
      <c r="I98" s="86" t="s">
        <v>309</v>
      </c>
      <c r="J98" s="86" t="s">
        <v>314</v>
      </c>
      <c r="K98" s="86" t="s">
        <v>462</v>
      </c>
      <c r="L98" s="86" t="s">
        <v>474</v>
      </c>
      <c r="M98" s="86" t="s">
        <v>494</v>
      </c>
    </row>
    <row r="99" spans="1:13" ht="14.25" x14ac:dyDescent="0.2">
      <c r="A99" s="101" t="s">
        <v>213</v>
      </c>
      <c r="B99" s="103">
        <f t="shared" ref="B99:M99" si="20">B93/B96</f>
        <v>0.46094480407744398</v>
      </c>
      <c r="C99" s="103">
        <f t="shared" si="20"/>
        <v>0.46607464551470379</v>
      </c>
      <c r="D99" s="103">
        <f t="shared" si="20"/>
        <v>0.49227167502197117</v>
      </c>
      <c r="E99" s="103">
        <f t="shared" si="20"/>
        <v>0.47218138931508014</v>
      </c>
      <c r="F99" s="103">
        <f t="shared" si="20"/>
        <v>0.45856951922019196</v>
      </c>
      <c r="G99" s="103">
        <f t="shared" si="20"/>
        <v>0.46315328891182128</v>
      </c>
      <c r="H99" s="103">
        <f t="shared" si="20"/>
        <v>0.4402139589451311</v>
      </c>
      <c r="I99" s="103">
        <f t="shared" si="20"/>
        <v>0.43860632255071869</v>
      </c>
      <c r="J99" s="103">
        <f t="shared" si="20"/>
        <v>0.41309431072425862</v>
      </c>
      <c r="K99" s="103">
        <f t="shared" si="20"/>
        <v>0.39268418714787762</v>
      </c>
      <c r="L99" s="103">
        <f t="shared" si="20"/>
        <v>0.40173932972674686</v>
      </c>
      <c r="M99" s="103">
        <f t="shared" si="20"/>
        <v>0.40410627778828201</v>
      </c>
    </row>
    <row r="100" spans="1:13" ht="14.25" x14ac:dyDescent="0.2">
      <c r="A100" s="101" t="s">
        <v>56</v>
      </c>
      <c r="B100" s="103">
        <f t="shared" ref="B100:M100" si="21">B94/B96</f>
        <v>0.17363878707289901</v>
      </c>
      <c r="C100" s="103">
        <f t="shared" si="21"/>
        <v>0.17479704969369042</v>
      </c>
      <c r="D100" s="103">
        <f t="shared" si="21"/>
        <v>0.18666846748301813</v>
      </c>
      <c r="E100" s="103">
        <f t="shared" si="21"/>
        <v>0.20713824727961336</v>
      </c>
      <c r="F100" s="103">
        <f t="shared" si="21"/>
        <v>0.23272688112023496</v>
      </c>
      <c r="G100" s="103">
        <f t="shared" si="21"/>
        <v>0.23577046635816193</v>
      </c>
      <c r="H100" s="103">
        <f t="shared" si="21"/>
        <v>0.24154878749286757</v>
      </c>
      <c r="I100" s="103">
        <f t="shared" si="21"/>
        <v>0.24816137223426882</v>
      </c>
      <c r="J100" s="103">
        <f t="shared" si="21"/>
        <v>0.2445045403081352</v>
      </c>
      <c r="K100" s="103">
        <f t="shared" si="21"/>
        <v>0.24657152266003834</v>
      </c>
      <c r="L100" s="103">
        <f t="shared" si="21"/>
        <v>0.25751804818869273</v>
      </c>
      <c r="M100" s="103">
        <f t="shared" si="21"/>
        <v>0.27392538107212933</v>
      </c>
    </row>
    <row r="101" spans="1:13" ht="14.25" x14ac:dyDescent="0.2">
      <c r="A101" s="101" t="s">
        <v>1</v>
      </c>
      <c r="B101" s="103">
        <f t="shared" ref="B101:M101" si="22">B95/B96</f>
        <v>0.36541640884965698</v>
      </c>
      <c r="C101" s="103">
        <f t="shared" si="22"/>
        <v>0.35912830479160573</v>
      </c>
      <c r="D101" s="103">
        <f t="shared" si="22"/>
        <v>0.32105985749501065</v>
      </c>
      <c r="E101" s="103">
        <f t="shared" si="22"/>
        <v>0.32068036340530659</v>
      </c>
      <c r="F101" s="103">
        <f t="shared" si="22"/>
        <v>0.30870359965957311</v>
      </c>
      <c r="G101" s="103">
        <f t="shared" si="22"/>
        <v>0.30107624473001676</v>
      </c>
      <c r="H101" s="103">
        <f t="shared" si="22"/>
        <v>0.31823725356200139</v>
      </c>
      <c r="I101" s="103">
        <f t="shared" si="22"/>
        <v>0.3132323052150125</v>
      </c>
      <c r="J101" s="103">
        <f t="shared" si="22"/>
        <v>0.34240114896760626</v>
      </c>
      <c r="K101" s="103">
        <f t="shared" si="22"/>
        <v>0.36074429019208409</v>
      </c>
      <c r="L101" s="103">
        <f t="shared" si="22"/>
        <v>0.34074262208456041</v>
      </c>
      <c r="M101" s="103">
        <f t="shared" si="22"/>
        <v>0.32196834113958878</v>
      </c>
    </row>
    <row r="102" spans="1:13" ht="15.75" thickBot="1" x14ac:dyDescent="0.3">
      <c r="A102" s="88"/>
      <c r="B102" s="89">
        <f t="shared" ref="B102:M102" si="23">SUM(B99:B101)</f>
        <v>1</v>
      </c>
      <c r="C102" s="89">
        <f t="shared" si="23"/>
        <v>0.99999999999999989</v>
      </c>
      <c r="D102" s="89">
        <f t="shared" si="23"/>
        <v>0.99999999999999989</v>
      </c>
      <c r="E102" s="89">
        <f t="shared" si="23"/>
        <v>1</v>
      </c>
      <c r="F102" s="89">
        <f t="shared" si="23"/>
        <v>1</v>
      </c>
      <c r="G102" s="89">
        <f t="shared" si="23"/>
        <v>1</v>
      </c>
      <c r="H102" s="89">
        <f t="shared" si="23"/>
        <v>1</v>
      </c>
      <c r="I102" s="89">
        <f t="shared" si="23"/>
        <v>1</v>
      </c>
      <c r="J102" s="89">
        <f t="shared" si="23"/>
        <v>1</v>
      </c>
      <c r="K102" s="89">
        <f t="shared" si="23"/>
        <v>1</v>
      </c>
      <c r="L102" s="89">
        <f t="shared" si="23"/>
        <v>1</v>
      </c>
      <c r="M102" s="89">
        <f t="shared" si="23"/>
        <v>1.0000000000000002</v>
      </c>
    </row>
    <row r="103" spans="1:13" ht="15" thickTop="1" x14ac:dyDescent="0.2">
      <c r="A103" s="101"/>
      <c r="B103" s="101"/>
      <c r="C103" s="101"/>
      <c r="D103" s="101"/>
      <c r="E103" s="101"/>
      <c r="F103" s="101"/>
      <c r="G103" s="101"/>
      <c r="H103" s="101"/>
      <c r="I103" s="101"/>
      <c r="J103" s="101"/>
      <c r="K103" s="101"/>
      <c r="L103" s="101"/>
      <c r="M103" s="101"/>
    </row>
    <row r="104" spans="1:13" ht="14.25" x14ac:dyDescent="0.2">
      <c r="A104" s="101"/>
      <c r="B104" s="101"/>
      <c r="C104" s="101"/>
      <c r="D104" s="101"/>
      <c r="E104" s="101"/>
      <c r="F104" s="101"/>
      <c r="G104" s="101"/>
      <c r="H104" s="101"/>
      <c r="I104" s="101"/>
      <c r="J104" s="101"/>
      <c r="K104" s="101"/>
      <c r="L104" s="101"/>
      <c r="M104" s="101"/>
    </row>
    <row r="105" spans="1:13" ht="15" x14ac:dyDescent="0.25">
      <c r="A105" s="85" t="s">
        <v>488</v>
      </c>
      <c r="B105" s="86" t="s">
        <v>7</v>
      </c>
      <c r="C105" s="86" t="s">
        <v>8</v>
      </c>
      <c r="D105" s="86" t="s">
        <v>9</v>
      </c>
      <c r="E105" s="86" t="s">
        <v>10</v>
      </c>
      <c r="F105" s="86" t="s">
        <v>236</v>
      </c>
      <c r="G105" s="86" t="s">
        <v>305</v>
      </c>
      <c r="H105" s="86" t="s">
        <v>306</v>
      </c>
      <c r="I105" s="86" t="s">
        <v>309</v>
      </c>
      <c r="J105" s="86" t="s">
        <v>314</v>
      </c>
      <c r="K105" s="86" t="s">
        <v>462</v>
      </c>
      <c r="L105" s="86" t="s">
        <v>474</v>
      </c>
      <c r="M105" s="86" t="s">
        <v>494</v>
      </c>
    </row>
    <row r="106" spans="1:13" ht="14.25" x14ac:dyDescent="0.2">
      <c r="A106" s="101" t="s">
        <v>483</v>
      </c>
      <c r="B106" s="102">
        <f t="shared" ref="B106:M106" si="24">B33</f>
        <v>67140710.420000002</v>
      </c>
      <c r="C106" s="102">
        <f t="shared" si="24"/>
        <v>72957040.189999998</v>
      </c>
      <c r="D106" s="102">
        <f t="shared" si="24"/>
        <v>74410036.349999994</v>
      </c>
      <c r="E106" s="102">
        <f t="shared" si="24"/>
        <v>80222714.990000024</v>
      </c>
      <c r="F106" s="102">
        <f t="shared" si="24"/>
        <v>86685173.38000001</v>
      </c>
      <c r="G106" s="102">
        <f t="shared" si="24"/>
        <v>95521838.459999979</v>
      </c>
      <c r="H106" s="102">
        <f t="shared" si="24"/>
        <v>97189784.849999994</v>
      </c>
      <c r="I106" s="102">
        <f t="shared" si="24"/>
        <v>97363826.590000004</v>
      </c>
      <c r="J106" s="102">
        <f t="shared" si="24"/>
        <v>96069633.929999992</v>
      </c>
      <c r="K106" s="102">
        <f t="shared" si="24"/>
        <v>99184720.429999992</v>
      </c>
      <c r="L106" s="102">
        <f t="shared" si="24"/>
        <v>99695308.23999998</v>
      </c>
      <c r="M106" s="102">
        <f t="shared" si="24"/>
        <v>99366986.680000022</v>
      </c>
    </row>
    <row r="107" spans="1:13" ht="14.25" x14ac:dyDescent="0.2">
      <c r="A107" s="101" t="s">
        <v>227</v>
      </c>
      <c r="B107" s="102">
        <f t="shared" ref="B107:M107" si="25">B41</f>
        <v>17459339.050000004</v>
      </c>
      <c r="C107" s="102">
        <f t="shared" si="25"/>
        <v>17739703.390000001</v>
      </c>
      <c r="D107" s="102">
        <f t="shared" si="25"/>
        <v>17667272.84</v>
      </c>
      <c r="E107" s="102">
        <f t="shared" si="25"/>
        <v>13661083.379999999</v>
      </c>
      <c r="F107" s="102">
        <f t="shared" si="25"/>
        <v>16645075.6</v>
      </c>
      <c r="G107" s="102">
        <f t="shared" si="25"/>
        <v>18530549.850000001</v>
      </c>
      <c r="H107" s="102">
        <f t="shared" si="25"/>
        <v>18425044.25</v>
      </c>
      <c r="I107" s="102">
        <f t="shared" si="25"/>
        <v>18624562.379999999</v>
      </c>
      <c r="J107" s="102">
        <f t="shared" si="25"/>
        <v>18056207.530000001</v>
      </c>
      <c r="K107" s="102">
        <f t="shared" si="25"/>
        <v>22168998.07</v>
      </c>
      <c r="L107" s="102">
        <f t="shared" si="25"/>
        <v>20889712.390000001</v>
      </c>
      <c r="M107" s="102">
        <f t="shared" si="25"/>
        <v>15290819.51</v>
      </c>
    </row>
    <row r="108" spans="1:13" ht="14.25" x14ac:dyDescent="0.2">
      <c r="A108" s="101" t="s">
        <v>242</v>
      </c>
      <c r="B108" s="102">
        <f t="shared" ref="B108:M108" si="26">B49</f>
        <v>18823046.079999998</v>
      </c>
      <c r="C108" s="102">
        <f t="shared" si="26"/>
        <v>20178976.48</v>
      </c>
      <c r="D108" s="102">
        <f t="shared" si="26"/>
        <v>20221054.830000002</v>
      </c>
      <c r="E108" s="102">
        <f t="shared" si="26"/>
        <v>21046668.809999995</v>
      </c>
      <c r="F108" s="102">
        <f t="shared" si="26"/>
        <v>22626580.339999996</v>
      </c>
      <c r="G108" s="102">
        <f t="shared" si="26"/>
        <v>24146382.910000004</v>
      </c>
      <c r="H108" s="102">
        <f t="shared" si="26"/>
        <v>25300647.669999998</v>
      </c>
      <c r="I108" s="102">
        <f t="shared" si="26"/>
        <v>25248782.910000004</v>
      </c>
      <c r="J108" s="102">
        <f t="shared" si="26"/>
        <v>25781099.57</v>
      </c>
      <c r="K108" s="102">
        <f t="shared" si="26"/>
        <v>26213972.800000001</v>
      </c>
      <c r="L108" s="102">
        <f t="shared" si="26"/>
        <v>31325949.580000002</v>
      </c>
      <c r="M108" s="102">
        <f t="shared" si="26"/>
        <v>26678739.359999999</v>
      </c>
    </row>
    <row r="109" spans="1:13" ht="14.25" x14ac:dyDescent="0.2">
      <c r="A109" s="101" t="s">
        <v>244</v>
      </c>
      <c r="B109" s="102">
        <f t="shared" ref="B109:M109" si="27">B57</f>
        <v>24597496.209999997</v>
      </c>
      <c r="C109" s="102">
        <f t="shared" si="27"/>
        <v>25461402.909999996</v>
      </c>
      <c r="D109" s="102">
        <f t="shared" si="27"/>
        <v>24152542.330000002</v>
      </c>
      <c r="E109" s="102">
        <f t="shared" si="27"/>
        <v>25270316.240000002</v>
      </c>
      <c r="F109" s="102">
        <f t="shared" si="27"/>
        <v>27773829.669999998</v>
      </c>
      <c r="G109" s="102">
        <f t="shared" si="27"/>
        <v>30061928.060000002</v>
      </c>
      <c r="H109" s="102">
        <f t="shared" si="27"/>
        <v>30822903.689999998</v>
      </c>
      <c r="I109" s="102">
        <f t="shared" si="27"/>
        <v>29580186.079999998</v>
      </c>
      <c r="J109" s="102">
        <f t="shared" si="27"/>
        <v>29956860.120000001</v>
      </c>
      <c r="K109" s="102">
        <f t="shared" si="27"/>
        <v>27437782.770000003</v>
      </c>
      <c r="L109" s="102">
        <f t="shared" si="27"/>
        <v>27265215.039999992</v>
      </c>
      <c r="M109" s="102">
        <f t="shared" si="27"/>
        <v>30390817.810000002</v>
      </c>
    </row>
    <row r="110" spans="1:13" ht="14.25" x14ac:dyDescent="0.2">
      <c r="A110" s="101" t="s">
        <v>249</v>
      </c>
      <c r="B110" s="102">
        <f t="shared" ref="B110:M110" si="28">B81</f>
        <v>25004892.710000001</v>
      </c>
      <c r="C110" s="102">
        <f t="shared" si="28"/>
        <v>23802106.41</v>
      </c>
      <c r="D110" s="102">
        <f t="shared" si="28"/>
        <v>20883682.18</v>
      </c>
      <c r="E110" s="102">
        <f t="shared" si="28"/>
        <v>21356359.559999999</v>
      </c>
      <c r="F110" s="102">
        <f t="shared" si="28"/>
        <v>21777987.050000001</v>
      </c>
      <c r="G110" s="102">
        <f t="shared" si="28"/>
        <v>24229943.149999999</v>
      </c>
      <c r="H110" s="102">
        <f t="shared" si="28"/>
        <v>24675054.16</v>
      </c>
      <c r="I110" s="102">
        <f t="shared" si="28"/>
        <v>23705778.600000001</v>
      </c>
      <c r="J110" s="102">
        <f t="shared" si="28"/>
        <v>27360490.239999998</v>
      </c>
      <c r="K110" s="102">
        <f t="shared" si="28"/>
        <v>27222072.720000003</v>
      </c>
      <c r="L110" s="102">
        <f t="shared" si="28"/>
        <v>30628313.549999993</v>
      </c>
      <c r="M110" s="102">
        <f t="shared" si="28"/>
        <v>31476155.949999996</v>
      </c>
    </row>
    <row r="111" spans="1:13" ht="14.25" x14ac:dyDescent="0.2">
      <c r="A111" s="101" t="s">
        <v>251</v>
      </c>
      <c r="B111" s="102">
        <f t="shared" ref="B111:M111" si="29">B89</f>
        <v>9974924.0199999958</v>
      </c>
      <c r="C111" s="102">
        <f t="shared" si="29"/>
        <v>10179926.699999999</v>
      </c>
      <c r="D111" s="102">
        <f t="shared" si="29"/>
        <v>10183138.450000003</v>
      </c>
      <c r="E111" s="102">
        <f t="shared" si="29"/>
        <v>10573184.350000003</v>
      </c>
      <c r="F111" s="102">
        <f t="shared" si="29"/>
        <v>10964133.360000005</v>
      </c>
      <c r="G111" s="102">
        <f t="shared" si="29"/>
        <v>11263998.990000002</v>
      </c>
      <c r="H111" s="102">
        <f t="shared" si="29"/>
        <v>12432194.23</v>
      </c>
      <c r="I111" s="102">
        <f t="shared" si="29"/>
        <v>12397523.93</v>
      </c>
      <c r="J111" s="102">
        <f t="shared" si="29"/>
        <v>10707515.220000001</v>
      </c>
      <c r="K111" s="102">
        <f t="shared" si="29"/>
        <v>11160527.710000003</v>
      </c>
      <c r="L111" s="102">
        <f t="shared" si="29"/>
        <v>6479406.0999999978</v>
      </c>
      <c r="M111" s="102">
        <f t="shared" si="29"/>
        <v>8252684.2800000003</v>
      </c>
    </row>
    <row r="112" spans="1:13" ht="14.25" x14ac:dyDescent="0.2">
      <c r="A112" s="101" t="s">
        <v>247</v>
      </c>
      <c r="B112" s="102">
        <f t="shared" ref="B112:M112" si="30">B65</f>
        <v>22302596.630000006</v>
      </c>
      <c r="C112" s="102">
        <f t="shared" si="30"/>
        <v>24241281.980000004</v>
      </c>
      <c r="D112" s="102">
        <f t="shared" si="30"/>
        <v>19328792.040000003</v>
      </c>
      <c r="E112" s="102">
        <f t="shared" si="30"/>
        <v>21251269.290000007</v>
      </c>
      <c r="F112" s="102">
        <f t="shared" si="30"/>
        <v>21376024.860000007</v>
      </c>
      <c r="G112" s="102">
        <f t="shared" si="30"/>
        <v>22656272.570000008</v>
      </c>
      <c r="H112" s="102">
        <f t="shared" si="30"/>
        <v>28214349.029999997</v>
      </c>
      <c r="I112" s="102">
        <f t="shared" si="30"/>
        <v>29079032.100000009</v>
      </c>
      <c r="J112" s="102">
        <f t="shared" si="30"/>
        <v>34383494.960000001</v>
      </c>
      <c r="K112" s="102">
        <f t="shared" si="30"/>
        <v>49093036.869999997</v>
      </c>
      <c r="L112" s="102">
        <f t="shared" si="30"/>
        <v>47121903.070000008</v>
      </c>
      <c r="M112" s="102">
        <f t="shared" si="30"/>
        <v>46619087.620000005</v>
      </c>
    </row>
    <row r="113" spans="1:13" ht="15" x14ac:dyDescent="0.25">
      <c r="A113" s="88" t="s">
        <v>489</v>
      </c>
      <c r="B113" s="90">
        <f t="shared" ref="B113:M113" si="31">SUM(B106:B112)</f>
        <v>185303005.12</v>
      </c>
      <c r="C113" s="90">
        <f t="shared" si="31"/>
        <v>194560438.06</v>
      </c>
      <c r="D113" s="90">
        <f t="shared" si="31"/>
        <v>186846519.02000001</v>
      </c>
      <c r="E113" s="90">
        <f t="shared" si="31"/>
        <v>193381596.62</v>
      </c>
      <c r="F113" s="90">
        <f t="shared" si="31"/>
        <v>207848804.26000002</v>
      </c>
      <c r="G113" s="90">
        <f t="shared" si="31"/>
        <v>226410913.99000001</v>
      </c>
      <c r="H113" s="90">
        <f t="shared" si="31"/>
        <v>237059977.87999997</v>
      </c>
      <c r="I113" s="90">
        <f t="shared" si="31"/>
        <v>235999692.58999997</v>
      </c>
      <c r="J113" s="90">
        <f t="shared" si="31"/>
        <v>242315301.57000002</v>
      </c>
      <c r="K113" s="90">
        <f t="shared" si="31"/>
        <v>262481111.37000003</v>
      </c>
      <c r="L113" s="90">
        <f t="shared" si="31"/>
        <v>263405807.96999997</v>
      </c>
      <c r="M113" s="90">
        <f t="shared" si="31"/>
        <v>258075291.21000001</v>
      </c>
    </row>
    <row r="114" spans="1:13" ht="14.25" x14ac:dyDescent="0.2">
      <c r="A114" s="101" t="s">
        <v>252</v>
      </c>
      <c r="B114" s="102">
        <f t="shared" ref="B114:M114" si="32">B73</f>
        <v>13108618.289999999</v>
      </c>
      <c r="C114" s="102">
        <f t="shared" si="32"/>
        <v>13409887.75</v>
      </c>
      <c r="D114" s="102">
        <f t="shared" si="32"/>
        <v>13365550.49</v>
      </c>
      <c r="E114" s="102">
        <f t="shared" si="32"/>
        <v>13810692.039999999</v>
      </c>
      <c r="F114" s="102">
        <f t="shared" si="32"/>
        <v>15371406.32</v>
      </c>
      <c r="G114" s="102">
        <f t="shared" si="32"/>
        <v>15610872.310000001</v>
      </c>
      <c r="H114" s="102">
        <f t="shared" si="32"/>
        <v>17721493.809999999</v>
      </c>
      <c r="I114" s="102">
        <f t="shared" si="32"/>
        <v>18262832.91</v>
      </c>
      <c r="J114" s="102">
        <f t="shared" si="32"/>
        <v>17221042.350000001</v>
      </c>
      <c r="K114" s="102">
        <f t="shared" si="32"/>
        <v>17426635.940000001</v>
      </c>
      <c r="L114" s="102">
        <f t="shared" si="32"/>
        <v>16754466.43</v>
      </c>
      <c r="M114" s="102">
        <f t="shared" si="32"/>
        <v>15874705.84</v>
      </c>
    </row>
    <row r="115" spans="1:13" ht="15.75" thickBot="1" x14ac:dyDescent="0.3">
      <c r="A115" s="88" t="s">
        <v>490</v>
      </c>
      <c r="B115" s="87">
        <f t="shared" ref="B115:M115" si="33">SUM(B113:B114)</f>
        <v>198411623.41</v>
      </c>
      <c r="C115" s="87">
        <f t="shared" si="33"/>
        <v>207970325.81</v>
      </c>
      <c r="D115" s="87">
        <f t="shared" si="33"/>
        <v>200212069.51000002</v>
      </c>
      <c r="E115" s="87">
        <f t="shared" si="33"/>
        <v>207192288.66</v>
      </c>
      <c r="F115" s="87">
        <f t="shared" si="33"/>
        <v>223220210.58000001</v>
      </c>
      <c r="G115" s="87">
        <f t="shared" si="33"/>
        <v>242021786.30000001</v>
      </c>
      <c r="H115" s="87">
        <f t="shared" si="33"/>
        <v>254781471.68999997</v>
      </c>
      <c r="I115" s="87">
        <f t="shared" si="33"/>
        <v>254262525.49999997</v>
      </c>
      <c r="J115" s="87">
        <f t="shared" si="33"/>
        <v>259536343.92000002</v>
      </c>
      <c r="K115" s="87">
        <f t="shared" si="33"/>
        <v>279907747.31000006</v>
      </c>
      <c r="L115" s="87">
        <f t="shared" si="33"/>
        <v>280160274.39999998</v>
      </c>
      <c r="M115" s="87">
        <f t="shared" si="33"/>
        <v>273949997.05000001</v>
      </c>
    </row>
    <row r="116" spans="1:13" ht="15" thickTop="1" x14ac:dyDescent="0.2">
      <c r="A116" s="101"/>
      <c r="B116" s="101"/>
      <c r="C116" s="101"/>
      <c r="D116" s="101"/>
      <c r="E116" s="101"/>
      <c r="F116" s="101"/>
      <c r="G116" s="101"/>
      <c r="H116" s="101"/>
      <c r="I116" s="101"/>
      <c r="J116" s="101"/>
      <c r="K116" s="101"/>
      <c r="L116" s="101"/>
      <c r="M116" s="101"/>
    </row>
    <row r="117" spans="1:13" ht="15" x14ac:dyDescent="0.25">
      <c r="A117" s="85" t="s">
        <v>491</v>
      </c>
      <c r="B117" s="86" t="s">
        <v>7</v>
      </c>
      <c r="C117" s="86" t="s">
        <v>8</v>
      </c>
      <c r="D117" s="86" t="s">
        <v>9</v>
      </c>
      <c r="E117" s="86" t="s">
        <v>10</v>
      </c>
      <c r="F117" s="86" t="s">
        <v>236</v>
      </c>
      <c r="G117" s="86" t="s">
        <v>305</v>
      </c>
      <c r="H117" s="86" t="s">
        <v>306</v>
      </c>
      <c r="I117" s="86" t="s">
        <v>309</v>
      </c>
      <c r="J117" s="86" t="s">
        <v>314</v>
      </c>
      <c r="K117" s="86" t="s">
        <v>462</v>
      </c>
      <c r="L117" s="86" t="s">
        <v>474</v>
      </c>
      <c r="M117" s="86" t="s">
        <v>494</v>
      </c>
    </row>
    <row r="118" spans="1:13" ht="14.25" x14ac:dyDescent="0.2">
      <c r="A118" s="101" t="s">
        <v>483</v>
      </c>
      <c r="B118" s="103">
        <f t="shared" ref="B118:M118" si="34">B106/B115</f>
        <v>0.33839101392391557</v>
      </c>
      <c r="C118" s="103">
        <f t="shared" si="34"/>
        <v>0.35080504829642356</v>
      </c>
      <c r="D118" s="103">
        <f t="shared" si="34"/>
        <v>0.37165609711797831</v>
      </c>
      <c r="E118" s="103">
        <f t="shared" si="34"/>
        <v>0.38718967539204374</v>
      </c>
      <c r="F118" s="103">
        <f t="shared" si="34"/>
        <v>0.38833926889847131</v>
      </c>
      <c r="G118" s="103">
        <f t="shared" si="34"/>
        <v>0.39468280901618968</v>
      </c>
      <c r="H118" s="103">
        <f t="shared" si="34"/>
        <v>0.3814633152298203</v>
      </c>
      <c r="I118" s="103">
        <f t="shared" si="34"/>
        <v>0.38292637264786394</v>
      </c>
      <c r="J118" s="103">
        <f t="shared" si="34"/>
        <v>0.3701586933027487</v>
      </c>
      <c r="K118" s="103">
        <f t="shared" si="34"/>
        <v>0.35434789277251455</v>
      </c>
      <c r="L118" s="103">
        <f t="shared" si="34"/>
        <v>0.35585098013453398</v>
      </c>
      <c r="M118" s="103">
        <f t="shared" si="34"/>
        <v>0.36271942964052689</v>
      </c>
    </row>
    <row r="119" spans="1:13" ht="14.25" x14ac:dyDescent="0.2">
      <c r="A119" s="101" t="s">
        <v>227</v>
      </c>
      <c r="B119" s="103">
        <f t="shared" ref="B119:M119" si="35">B107/B115</f>
        <v>8.7995545573062675E-2</v>
      </c>
      <c r="C119" s="103">
        <f t="shared" si="35"/>
        <v>8.5299204686570762E-2</v>
      </c>
      <c r="D119" s="103">
        <f t="shared" si="35"/>
        <v>8.824279616727887E-2</v>
      </c>
      <c r="E119" s="103">
        <f t="shared" si="35"/>
        <v>6.5934323465182965E-2</v>
      </c>
      <c r="F119" s="103">
        <f t="shared" si="35"/>
        <v>7.4567959400945738E-2</v>
      </c>
      <c r="G119" s="103">
        <f t="shared" si="35"/>
        <v>7.6565627141642167E-2</v>
      </c>
      <c r="H119" s="103">
        <f t="shared" si="35"/>
        <v>7.2317049304190723E-2</v>
      </c>
      <c r="I119" s="103">
        <f t="shared" si="35"/>
        <v>7.3249340788129627E-2</v>
      </c>
      <c r="J119" s="103">
        <f t="shared" si="35"/>
        <v>6.9571017520250189E-2</v>
      </c>
      <c r="K119" s="103">
        <f t="shared" si="35"/>
        <v>7.9201087797858116E-2</v>
      </c>
      <c r="L119" s="103">
        <f t="shared" si="35"/>
        <v>7.4563434929302744E-2</v>
      </c>
      <c r="M119" s="103">
        <f t="shared" si="35"/>
        <v>5.5816096640472657E-2</v>
      </c>
    </row>
    <row r="120" spans="1:13" ht="14.25" x14ac:dyDescent="0.2">
      <c r="A120" s="101" t="s">
        <v>242</v>
      </c>
      <c r="B120" s="103">
        <f t="shared" ref="B120:M120" si="36">B108/B115</f>
        <v>9.4868666242923907E-2</v>
      </c>
      <c r="C120" s="103">
        <f t="shared" si="36"/>
        <v>9.7028152460728212E-2</v>
      </c>
      <c r="D120" s="103">
        <f t="shared" si="36"/>
        <v>0.10099818097624738</v>
      </c>
      <c r="E120" s="103">
        <f t="shared" si="36"/>
        <v>0.10158036742640225</v>
      </c>
      <c r="F120" s="103">
        <f t="shared" si="36"/>
        <v>0.10136438936782942</v>
      </c>
      <c r="G120" s="103">
        <f t="shared" si="36"/>
        <v>9.9769459928161858E-2</v>
      </c>
      <c r="H120" s="103">
        <f t="shared" si="36"/>
        <v>9.930332650242335E-2</v>
      </c>
      <c r="I120" s="103">
        <f t="shared" si="36"/>
        <v>9.9302022035488699E-2</v>
      </c>
      <c r="J120" s="103">
        <f t="shared" si="36"/>
        <v>9.9335219031777749E-2</v>
      </c>
      <c r="K120" s="103">
        <f t="shared" si="36"/>
        <v>9.3652187379321863E-2</v>
      </c>
      <c r="L120" s="103">
        <f t="shared" si="36"/>
        <v>0.11181438784313243</v>
      </c>
      <c r="M120" s="103">
        <f t="shared" si="36"/>
        <v>9.7385434010903549E-2</v>
      </c>
    </row>
    <row r="121" spans="1:13" ht="14.25" x14ac:dyDescent="0.2">
      <c r="A121" s="101" t="s">
        <v>244</v>
      </c>
      <c r="B121" s="103">
        <f t="shared" ref="B121:M121" si="37">B109/B115</f>
        <v>0.12397205258066689</v>
      </c>
      <c r="C121" s="103">
        <f t="shared" si="37"/>
        <v>0.12242805703570098</v>
      </c>
      <c r="D121" s="103">
        <f t="shared" si="37"/>
        <v>0.1206347968387273</v>
      </c>
      <c r="E121" s="103">
        <f t="shared" si="37"/>
        <v>0.12196552489204017</v>
      </c>
      <c r="F121" s="103">
        <f t="shared" si="37"/>
        <v>0.12442345430028219</v>
      </c>
      <c r="G121" s="103">
        <f t="shared" si="37"/>
        <v>0.12421166094004654</v>
      </c>
      <c r="H121" s="103">
        <f t="shared" si="37"/>
        <v>0.12097780692429284</v>
      </c>
      <c r="I121" s="103">
        <f t="shared" si="37"/>
        <v>0.11633718347535253</v>
      </c>
      <c r="J121" s="103">
        <f t="shared" si="37"/>
        <v>0.11542452847850072</v>
      </c>
      <c r="K121" s="103">
        <f t="shared" si="37"/>
        <v>9.8024377794775505E-2</v>
      </c>
      <c r="L121" s="103">
        <f t="shared" si="37"/>
        <v>9.7320061162818425E-2</v>
      </c>
      <c r="M121" s="103">
        <f t="shared" si="37"/>
        <v>0.11093563839116675</v>
      </c>
    </row>
    <row r="122" spans="1:13" ht="14.25" x14ac:dyDescent="0.2">
      <c r="A122" s="101" t="s">
        <v>249</v>
      </c>
      <c r="B122" s="103">
        <f t="shared" ref="B122:M122" si="38">B110/B115</f>
        <v>0.12602534206541727</v>
      </c>
      <c r="C122" s="103">
        <f t="shared" si="38"/>
        <v>0.11444953176514909</v>
      </c>
      <c r="D122" s="103">
        <f t="shared" si="38"/>
        <v>0.10430780837094798</v>
      </c>
      <c r="E122" s="103">
        <f t="shared" si="38"/>
        <v>0.1030750695314029</v>
      </c>
      <c r="F122" s="103">
        <f t="shared" si="38"/>
        <v>9.7562792335934012E-2</v>
      </c>
      <c r="G122" s="103">
        <f t="shared" si="38"/>
        <v>0.10011471909378267</v>
      </c>
      <c r="H122" s="103">
        <f t="shared" si="38"/>
        <v>9.6847914396313933E-2</v>
      </c>
      <c r="I122" s="103">
        <f t="shared" si="38"/>
        <v>9.3233474155828777E-2</v>
      </c>
      <c r="J122" s="103">
        <f t="shared" si="38"/>
        <v>0.1054206506370208</v>
      </c>
      <c r="K122" s="103">
        <f t="shared" si="38"/>
        <v>9.7253730851012632E-2</v>
      </c>
      <c r="L122" s="103">
        <f t="shared" si="38"/>
        <v>0.10932425596596287</v>
      </c>
      <c r="M122" s="103">
        <f t="shared" si="38"/>
        <v>0.11489744949424154</v>
      </c>
    </row>
    <row r="123" spans="1:13" ht="14.25" x14ac:dyDescent="0.2">
      <c r="A123" s="101" t="s">
        <v>251</v>
      </c>
      <c r="B123" s="103">
        <f t="shared" ref="B123:M123" si="39">B111/B115</f>
        <v>5.027388944541672E-2</v>
      </c>
      <c r="C123" s="103">
        <f t="shared" si="39"/>
        <v>4.8948938558187854E-2</v>
      </c>
      <c r="D123" s="103">
        <f t="shared" si="39"/>
        <v>5.0861761106222342E-2</v>
      </c>
      <c r="E123" s="103">
        <f t="shared" si="39"/>
        <v>5.1030781205136787E-2</v>
      </c>
      <c r="F123" s="103">
        <f t="shared" si="39"/>
        <v>4.9118013693793927E-2</v>
      </c>
      <c r="G123" s="103">
        <f t="shared" si="39"/>
        <v>4.6541260446849288E-2</v>
      </c>
      <c r="H123" s="103">
        <f t="shared" si="39"/>
        <v>4.8795519342656961E-2</v>
      </c>
      <c r="I123" s="103">
        <f t="shared" si="39"/>
        <v>4.8758753991059535E-2</v>
      </c>
      <c r="J123" s="103">
        <f t="shared" si="39"/>
        <v>4.1256322942194584E-2</v>
      </c>
      <c r="K123" s="103">
        <f t="shared" si="39"/>
        <v>3.9872164372926872E-2</v>
      </c>
      <c r="L123" s="103">
        <f t="shared" si="39"/>
        <v>2.3127497693513105E-2</v>
      </c>
      <c r="M123" s="103">
        <f t="shared" si="39"/>
        <v>3.0124783240985983E-2</v>
      </c>
    </row>
    <row r="124" spans="1:13" ht="14.25" x14ac:dyDescent="0.2">
      <c r="A124" s="101" t="s">
        <v>247</v>
      </c>
      <c r="B124" s="103">
        <f t="shared" ref="B124:M124" si="40">B112/B115</f>
        <v>0.11240569603078984</v>
      </c>
      <c r="C124" s="103">
        <f t="shared" si="40"/>
        <v>0.11656125404230333</v>
      </c>
      <c r="D124" s="103">
        <f t="shared" si="40"/>
        <v>9.6541592558857123E-2</v>
      </c>
      <c r="E124" s="103">
        <f t="shared" si="40"/>
        <v>0.1025678582317949</v>
      </c>
      <c r="F124" s="103">
        <f t="shared" si="40"/>
        <v>9.5762049522567949E-2</v>
      </c>
      <c r="G124" s="103">
        <f t="shared" si="40"/>
        <v>9.3612533468025255E-2</v>
      </c>
      <c r="H124" s="103">
        <f t="shared" si="40"/>
        <v>0.11073940676631783</v>
      </c>
      <c r="I124" s="103">
        <f t="shared" si="40"/>
        <v>0.11436617347686973</v>
      </c>
      <c r="J124" s="103">
        <f t="shared" si="40"/>
        <v>0.13248046281563725</v>
      </c>
      <c r="K124" s="103">
        <f t="shared" si="40"/>
        <v>0.17539006098187437</v>
      </c>
      <c r="L124" s="103">
        <f t="shared" si="40"/>
        <v>0.16819623399826314</v>
      </c>
      <c r="M124" s="103">
        <f t="shared" si="40"/>
        <v>0.170173710976501</v>
      </c>
    </row>
    <row r="125" spans="1:13" ht="14.25" x14ac:dyDescent="0.2">
      <c r="A125" s="101" t="s">
        <v>252</v>
      </c>
      <c r="B125" s="103">
        <f t="shared" ref="B125:M125" si="41">B114/B115</f>
        <v>6.6067794137807154E-2</v>
      </c>
      <c r="C125" s="103">
        <f t="shared" si="41"/>
        <v>6.4479813154936172E-2</v>
      </c>
      <c r="D125" s="103">
        <f t="shared" si="41"/>
        <v>6.6756966863740594E-2</v>
      </c>
      <c r="E125" s="103">
        <f t="shared" si="41"/>
        <v>6.6656399855996445E-2</v>
      </c>
      <c r="F125" s="103">
        <f t="shared" si="41"/>
        <v>6.8862072480175507E-2</v>
      </c>
      <c r="G125" s="103">
        <f t="shared" si="41"/>
        <v>6.4501929965302462E-2</v>
      </c>
      <c r="H125" s="103">
        <f t="shared" si="41"/>
        <v>6.9555661533984139E-2</v>
      </c>
      <c r="I125" s="103">
        <f t="shared" si="41"/>
        <v>7.1826679429407306E-2</v>
      </c>
      <c r="J125" s="103">
        <f t="shared" si="41"/>
        <v>6.6353105271869939E-2</v>
      </c>
      <c r="K125" s="103">
        <f t="shared" si="41"/>
        <v>6.2258498049715873E-2</v>
      </c>
      <c r="L125" s="103">
        <f t="shared" si="41"/>
        <v>5.980314827247328E-2</v>
      </c>
      <c r="M125" s="103">
        <f t="shared" si="41"/>
        <v>5.7947457605201674E-2</v>
      </c>
    </row>
    <row r="126" spans="1:13" ht="15.75" thickBot="1" x14ac:dyDescent="0.3">
      <c r="A126" s="101"/>
      <c r="B126" s="89">
        <f t="shared" ref="B126:M126" si="42">SUM(B118:B125)</f>
        <v>1</v>
      </c>
      <c r="C126" s="89">
        <f t="shared" si="42"/>
        <v>1</v>
      </c>
      <c r="D126" s="89">
        <f t="shared" si="42"/>
        <v>0.99999999999999978</v>
      </c>
      <c r="E126" s="89">
        <f t="shared" si="42"/>
        <v>1.0000000000000002</v>
      </c>
      <c r="F126" s="89">
        <f t="shared" si="42"/>
        <v>1</v>
      </c>
      <c r="G126" s="89">
        <f t="shared" si="42"/>
        <v>0.99999999999999989</v>
      </c>
      <c r="H126" s="89">
        <f t="shared" si="42"/>
        <v>1</v>
      </c>
      <c r="I126" s="89">
        <f t="shared" si="42"/>
        <v>1</v>
      </c>
      <c r="J126" s="89">
        <f t="shared" si="42"/>
        <v>1</v>
      </c>
      <c r="K126" s="89">
        <f t="shared" si="42"/>
        <v>0.99999999999999967</v>
      </c>
      <c r="L126" s="89">
        <f t="shared" si="42"/>
        <v>0.99999999999999989</v>
      </c>
      <c r="M126" s="89">
        <f t="shared" si="42"/>
        <v>1</v>
      </c>
    </row>
    <row r="127" spans="1:13" ht="13.5" thickTop="1" x14ac:dyDescent="0.2">
      <c r="A127" s="78"/>
      <c r="B127" s="78"/>
      <c r="C127" s="78"/>
      <c r="D127" s="78"/>
      <c r="E127" s="78"/>
      <c r="F127" s="78"/>
      <c r="G127" s="78"/>
      <c r="H127" s="78"/>
      <c r="I127" s="78"/>
      <c r="J127" s="78"/>
      <c r="K127" s="78"/>
    </row>
    <row r="141" spans="3:3" ht="14.25" x14ac:dyDescent="0.2">
      <c r="C141" s="104"/>
    </row>
  </sheetData>
  <phoneticPr fontId="10" type="noConversion"/>
  <pageMargins left="0.7" right="0.7" top="0.75" bottom="0.75" header="0.3" footer="0.3"/>
  <pageSetup orientation="portrait" horizontalDpi="1200" verticalDpi="120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V203"/>
  <sheetViews>
    <sheetView zoomScaleNormal="100" workbookViewId="0">
      <pane xSplit="4" ySplit="7" topLeftCell="R173" activePane="bottomRight" state="frozen"/>
      <selection pane="topRight" activeCell="C1" sqref="C1"/>
      <selection pane="bottomLeft" activeCell="A8" sqref="A8"/>
      <selection pane="bottomRight" activeCell="V188" sqref="V188"/>
    </sheetView>
  </sheetViews>
  <sheetFormatPr defaultColWidth="9.140625" defaultRowHeight="12.75" x14ac:dyDescent="0.2"/>
  <cols>
    <col min="1" max="1" width="7.85546875" style="3" bestFit="1" customWidth="1"/>
    <col min="2" max="2" width="36.85546875" style="3" bestFit="1" customWidth="1"/>
    <col min="3" max="3" width="8.85546875" style="3" customWidth="1"/>
    <col min="4" max="4" width="34.7109375" style="3" bestFit="1" customWidth="1"/>
    <col min="5" max="8" width="14" style="3" bestFit="1" customWidth="1"/>
    <col min="9" max="13" width="14.5703125" style="3" bestFit="1" customWidth="1"/>
    <col min="14" max="20" width="14.5703125" style="3" customWidth="1"/>
    <col min="21" max="21" width="14.7109375" style="3" customWidth="1"/>
    <col min="22" max="22" width="12.570312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252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16">
        <f t="shared" ref="U9" si="0">T9-S9</f>
        <v>0</v>
      </c>
      <c r="V9" s="45" t="e">
        <f>U9/S9</f>
        <v>#DIV/0!</v>
      </c>
    </row>
    <row r="10" spans="1:22" x14ac:dyDescent="0.2">
      <c r="C10" s="3" t="s">
        <v>1</v>
      </c>
      <c r="E10" s="4">
        <v>11991603.689999999</v>
      </c>
      <c r="F10" s="4">
        <v>11292998.4</v>
      </c>
      <c r="G10" s="4">
        <v>11844050.84</v>
      </c>
      <c r="H10" s="4">
        <v>12990591.939999999</v>
      </c>
      <c r="I10" s="4">
        <v>13108618.289999999</v>
      </c>
      <c r="J10" s="4">
        <v>13409887.75</v>
      </c>
      <c r="K10" s="4">
        <v>13365550.49</v>
      </c>
      <c r="L10" s="4">
        <v>13810692.039999999</v>
      </c>
      <c r="M10" s="4">
        <v>15371406.32</v>
      </c>
      <c r="N10" s="4">
        <v>15610872.310000001</v>
      </c>
      <c r="O10" s="4">
        <v>17721493.809999999</v>
      </c>
      <c r="P10" s="4">
        <v>18262832.91</v>
      </c>
      <c r="Q10" s="4">
        <v>17221042.350000001</v>
      </c>
      <c r="R10" s="4">
        <v>17426635.940000001</v>
      </c>
      <c r="S10" s="4">
        <v>16754466.43</v>
      </c>
      <c r="T10" s="4">
        <v>15874705.84</v>
      </c>
      <c r="U10" s="16">
        <f t="shared" ref="U10:U12" si="1">T10-S10</f>
        <v>-879760.58999999985</v>
      </c>
      <c r="V10" s="45">
        <f t="shared" ref="V10:V13" si="2">U10/S10</f>
        <v>-5.250901863545647E-2</v>
      </c>
    </row>
    <row r="11" spans="1:22" x14ac:dyDescent="0.2">
      <c r="C11" s="3" t="s">
        <v>218</v>
      </c>
      <c r="E11" s="4"/>
      <c r="F11" s="4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  <c r="R11" s="4"/>
      <c r="S11" s="4"/>
      <c r="T11" s="4"/>
      <c r="U11" s="16">
        <f t="shared" si="1"/>
        <v>0</v>
      </c>
      <c r="V11" s="45" t="e">
        <f t="shared" si="2"/>
        <v>#DIV/0!</v>
      </c>
    </row>
    <row r="12" spans="1:22" x14ac:dyDescent="0.2">
      <c r="C12" s="3" t="s">
        <v>219</v>
      </c>
      <c r="E12" s="4"/>
      <c r="F12" s="4"/>
      <c r="G12" s="4"/>
      <c r="H12" s="4"/>
      <c r="I12" s="4">
        <v>-13108618.289999999</v>
      </c>
      <c r="J12" s="4">
        <v>-13409887.75</v>
      </c>
      <c r="K12" s="4">
        <v>-13365550.49</v>
      </c>
      <c r="L12" s="4">
        <v>-13810692.039999999</v>
      </c>
      <c r="M12" s="4">
        <v>-15371406.32</v>
      </c>
      <c r="N12" s="4">
        <v>-15610872.310000001</v>
      </c>
      <c r="O12" s="4">
        <v>-17721493.809999999</v>
      </c>
      <c r="P12" s="4">
        <v>-18262832.91</v>
      </c>
      <c r="Q12" s="4">
        <v>-17221042.350000001</v>
      </c>
      <c r="R12" s="4">
        <v>-17426635.940000001</v>
      </c>
      <c r="S12" s="4">
        <v>-16754466.43</v>
      </c>
      <c r="T12" s="4">
        <v>-15874705.84</v>
      </c>
      <c r="U12" s="16">
        <f t="shared" si="1"/>
        <v>879760.58999999985</v>
      </c>
      <c r="V12" s="45">
        <f t="shared" si="2"/>
        <v>-5.250901863545647E-2</v>
      </c>
    </row>
    <row r="13" spans="1:22" ht="13.5" thickBot="1" x14ac:dyDescent="0.25">
      <c r="C13" s="3" t="s">
        <v>2</v>
      </c>
      <c r="E13" s="10">
        <f t="shared" ref="E13:U13" si="3">SUM(E9:E12)</f>
        <v>11991603.689999999</v>
      </c>
      <c r="F13" s="10">
        <f t="shared" si="3"/>
        <v>11292998.4</v>
      </c>
      <c r="G13" s="10">
        <f t="shared" si="3"/>
        <v>11844050.84</v>
      </c>
      <c r="H13" s="10">
        <f t="shared" si="3"/>
        <v>12990591.939999999</v>
      </c>
      <c r="I13" s="10">
        <f t="shared" si="3"/>
        <v>0</v>
      </c>
      <c r="J13" s="10">
        <f t="shared" si="3"/>
        <v>0</v>
      </c>
      <c r="K13" s="10">
        <f t="shared" si="3"/>
        <v>0</v>
      </c>
      <c r="L13" s="10">
        <f t="shared" si="3"/>
        <v>0</v>
      </c>
      <c r="M13" s="10">
        <f t="shared" si="3"/>
        <v>0</v>
      </c>
      <c r="N13" s="10">
        <f t="shared" si="3"/>
        <v>0</v>
      </c>
      <c r="O13" s="10">
        <f t="shared" si="3"/>
        <v>0</v>
      </c>
      <c r="P13" s="10">
        <f t="shared" si="3"/>
        <v>0</v>
      </c>
      <c r="Q13" s="10">
        <f t="shared" si="3"/>
        <v>0</v>
      </c>
      <c r="R13" s="10">
        <f t="shared" si="3"/>
        <v>0</v>
      </c>
      <c r="S13" s="10">
        <f t="shared" si="3"/>
        <v>0</v>
      </c>
      <c r="T13" s="10">
        <f t="shared" si="3"/>
        <v>0</v>
      </c>
      <c r="U13" s="21">
        <f t="shared" si="3"/>
        <v>0</v>
      </c>
      <c r="V13" s="45" t="e">
        <f t="shared" si="2"/>
        <v>#DIV/0!</v>
      </c>
    </row>
    <row r="14" spans="1:22" ht="13.5" thickTop="1" x14ac:dyDescent="0.2">
      <c r="U14" s="16"/>
    </row>
    <row r="15" spans="1:22" x14ac:dyDescent="0.2">
      <c r="C15" s="8" t="s">
        <v>253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6">
        <f t="shared" ref="U18:U25" si="4">T18-S18</f>
        <v>0</v>
      </c>
      <c r="V18" s="45" t="e">
        <f t="shared" ref="V18:V26" si="5">U18/S18</f>
        <v>#DIV/0!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6">
        <f t="shared" si="4"/>
        <v>0</v>
      </c>
      <c r="V19" s="45" t="e">
        <f t="shared" si="5"/>
        <v>#DIV/0!</v>
      </c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6">
        <f t="shared" si="4"/>
        <v>0</v>
      </c>
      <c r="V20" s="45" t="e">
        <f t="shared" si="5"/>
        <v>#DIV/0!</v>
      </c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6">
        <f t="shared" si="4"/>
        <v>0</v>
      </c>
      <c r="V21" s="45" t="e">
        <f t="shared" si="5"/>
        <v>#DIV/0!</v>
      </c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6">
        <f t="shared" si="4"/>
        <v>0</v>
      </c>
      <c r="V22" s="45" t="e">
        <f t="shared" si="5"/>
        <v>#DIV/0!</v>
      </c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6">
        <f t="shared" si="4"/>
        <v>0</v>
      </c>
      <c r="V23" s="45" t="e">
        <f t="shared" si="5"/>
        <v>#DIV/0!</v>
      </c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6">
        <f t="shared" si="4"/>
        <v>0</v>
      </c>
      <c r="V24" s="45" t="e">
        <f t="shared" si="5"/>
        <v>#DIV/0!</v>
      </c>
    </row>
    <row r="25" spans="1:22" x14ac:dyDescent="0.2">
      <c r="A25" s="3">
        <v>601508</v>
      </c>
      <c r="B25" s="3" t="s">
        <v>307</v>
      </c>
      <c r="C25" s="38">
        <v>611180</v>
      </c>
      <c r="D25" s="40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6">
        <f t="shared" si="4"/>
        <v>0</v>
      </c>
      <c r="V25" s="45" t="e">
        <f t="shared" si="5"/>
        <v>#DIV/0!</v>
      </c>
    </row>
    <row r="26" spans="1:22" x14ac:dyDescent="0.2">
      <c r="C26" s="1"/>
      <c r="D26" s="5" t="s">
        <v>229</v>
      </c>
      <c r="E26" s="6">
        <f>SUM(E18:E24)</f>
        <v>0</v>
      </c>
      <c r="F26" s="6">
        <f>SUM(F18:F24)</f>
        <v>0</v>
      </c>
      <c r="G26" s="6">
        <f t="shared" ref="G26:T26" si="6">SUM(G18:G24)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6"/>
        <v>0</v>
      </c>
      <c r="L26" s="6">
        <f t="shared" si="6"/>
        <v>0</v>
      </c>
      <c r="M26" s="6">
        <f t="shared" si="6"/>
        <v>0</v>
      </c>
      <c r="N26" s="6">
        <f t="shared" si="6"/>
        <v>0</v>
      </c>
      <c r="O26" s="6">
        <f t="shared" si="6"/>
        <v>0</v>
      </c>
      <c r="P26" s="6">
        <f t="shared" si="6"/>
        <v>0</v>
      </c>
      <c r="Q26" s="6">
        <f t="shared" si="6"/>
        <v>0</v>
      </c>
      <c r="R26" s="6">
        <f t="shared" si="6"/>
        <v>0</v>
      </c>
      <c r="S26" s="6">
        <f t="shared" si="6"/>
        <v>0</v>
      </c>
      <c r="T26" s="6">
        <f t="shared" si="6"/>
        <v>0</v>
      </c>
      <c r="U26" s="17">
        <f t="shared" ref="U26" si="7">SUM(U18:U25)</f>
        <v>0</v>
      </c>
      <c r="V26" s="45" t="e">
        <f t="shared" si="5"/>
        <v>#DIV/0!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6">
        <f t="shared" ref="U27:U63" si="8">T27-S27</f>
        <v>0</v>
      </c>
      <c r="V27" s="45" t="e">
        <f t="shared" ref="V27:V64" si="9">U27/S27</f>
        <v>#DIV/0!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6">
        <f t="shared" si="8"/>
        <v>0</v>
      </c>
      <c r="V28" s="45" t="e">
        <f t="shared" si="9"/>
        <v>#DIV/0!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6">
        <f t="shared" si="8"/>
        <v>0</v>
      </c>
      <c r="V29" s="45" t="e">
        <f t="shared" si="9"/>
        <v>#DIV/0!</v>
      </c>
    </row>
    <row r="30" spans="1:22" x14ac:dyDescent="0.2">
      <c r="A30" s="3">
        <v>601100</v>
      </c>
      <c r="B30" s="3" t="s">
        <v>318</v>
      </c>
      <c r="C30" s="1">
        <v>612205</v>
      </c>
      <c r="D30" s="1" t="s">
        <v>21</v>
      </c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6">
        <f t="shared" si="8"/>
        <v>0</v>
      </c>
      <c r="V30" s="45" t="e">
        <f t="shared" si="9"/>
        <v>#DIV/0!</v>
      </c>
    </row>
    <row r="31" spans="1:22" x14ac:dyDescent="0.2">
      <c r="A31" s="3">
        <v>601510</v>
      </c>
      <c r="B31" s="3" t="s">
        <v>22</v>
      </c>
      <c r="C31" s="1">
        <v>612220</v>
      </c>
      <c r="D31" s="1" t="s">
        <v>22</v>
      </c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6">
        <f t="shared" si="8"/>
        <v>0</v>
      </c>
      <c r="V31" s="45" t="e">
        <f t="shared" si="9"/>
        <v>#DIV/0!</v>
      </c>
    </row>
    <row r="32" spans="1:22" x14ac:dyDescent="0.2">
      <c r="A32" s="3">
        <v>601306</v>
      </c>
      <c r="B32" s="3" t="s">
        <v>324</v>
      </c>
      <c r="C32" s="1">
        <v>612230</v>
      </c>
      <c r="D32" s="1" t="s">
        <v>23</v>
      </c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6">
        <f t="shared" si="8"/>
        <v>0</v>
      </c>
      <c r="V32" s="45" t="e">
        <f t="shared" si="9"/>
        <v>#DIV/0!</v>
      </c>
    </row>
    <row r="33" spans="1:22" x14ac:dyDescent="0.2">
      <c r="A33" s="3">
        <v>601303</v>
      </c>
      <c r="B33" s="3" t="s">
        <v>321</v>
      </c>
      <c r="C33" s="1">
        <v>612235</v>
      </c>
      <c r="D33" s="1" t="s">
        <v>24</v>
      </c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6">
        <f t="shared" si="8"/>
        <v>0</v>
      </c>
      <c r="V33" s="45" t="e">
        <f t="shared" si="9"/>
        <v>#DIV/0!</v>
      </c>
    </row>
    <row r="34" spans="1:22" x14ac:dyDescent="0.2">
      <c r="A34" s="3">
        <v>601304</v>
      </c>
      <c r="B34" s="3" t="s">
        <v>322</v>
      </c>
      <c r="C34" s="1">
        <v>612300</v>
      </c>
      <c r="D34" s="1" t="s">
        <v>25</v>
      </c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6">
        <f t="shared" si="8"/>
        <v>0</v>
      </c>
      <c r="V34" s="45" t="e">
        <f t="shared" si="9"/>
        <v>#DIV/0!</v>
      </c>
    </row>
    <row r="35" spans="1:22" x14ac:dyDescent="0.2">
      <c r="A35" s="3">
        <v>601305</v>
      </c>
      <c r="B35" s="3" t="s">
        <v>323</v>
      </c>
      <c r="C35" s="1">
        <v>612305</v>
      </c>
      <c r="D35" s="1" t="s">
        <v>26</v>
      </c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6">
        <f t="shared" si="8"/>
        <v>0</v>
      </c>
      <c r="V35" s="45" t="e">
        <f t="shared" si="9"/>
        <v>#DIV/0!</v>
      </c>
    </row>
    <row r="36" spans="1:22" x14ac:dyDescent="0.2">
      <c r="A36" s="3">
        <v>601400</v>
      </c>
      <c r="B36" s="3" t="s">
        <v>325</v>
      </c>
      <c r="C36" s="1">
        <v>612410</v>
      </c>
      <c r="D36" s="1" t="s">
        <v>27</v>
      </c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6">
        <f t="shared" si="8"/>
        <v>0</v>
      </c>
      <c r="V36" s="45" t="e">
        <f t="shared" si="9"/>
        <v>#DIV/0!</v>
      </c>
    </row>
    <row r="37" spans="1:22" x14ac:dyDescent="0.2">
      <c r="A37" s="3">
        <v>601401</v>
      </c>
      <c r="B37" s="3" t="s">
        <v>431</v>
      </c>
      <c r="C37" s="1">
        <v>612420</v>
      </c>
      <c r="D37" s="1" t="s">
        <v>28</v>
      </c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6">
        <f t="shared" si="8"/>
        <v>0</v>
      </c>
      <c r="V37" s="45" t="e">
        <f t="shared" si="9"/>
        <v>#DIV/0!</v>
      </c>
    </row>
    <row r="38" spans="1:22" x14ac:dyDescent="0.2">
      <c r="A38" s="3">
        <v>601404</v>
      </c>
      <c r="B38" s="3" t="s">
        <v>327</v>
      </c>
      <c r="C38" s="1">
        <v>612510</v>
      </c>
      <c r="D38" s="1" t="s">
        <v>29</v>
      </c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6">
        <f t="shared" si="8"/>
        <v>0</v>
      </c>
      <c r="V38" s="45" t="e">
        <f t="shared" si="9"/>
        <v>#DIV/0!</v>
      </c>
    </row>
    <row r="39" spans="1:22" x14ac:dyDescent="0.2">
      <c r="A39" s="3">
        <v>601405</v>
      </c>
      <c r="B39" s="3" t="s">
        <v>328</v>
      </c>
      <c r="C39" s="1">
        <v>612520</v>
      </c>
      <c r="D39" s="1" t="s">
        <v>30</v>
      </c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6">
        <f t="shared" si="8"/>
        <v>0</v>
      </c>
      <c r="V39" s="45" t="e">
        <f t="shared" si="9"/>
        <v>#DIV/0!</v>
      </c>
    </row>
    <row r="40" spans="1:22" x14ac:dyDescent="0.2">
      <c r="A40" s="3">
        <v>601402</v>
      </c>
      <c r="B40" s="3" t="s">
        <v>326</v>
      </c>
      <c r="C40" s="1">
        <v>612600</v>
      </c>
      <c r="D40" s="1" t="s">
        <v>31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6">
        <f t="shared" si="8"/>
        <v>0</v>
      </c>
      <c r="V40" s="45" t="e">
        <f t="shared" si="9"/>
        <v>#DIV/0!</v>
      </c>
    </row>
    <row r="41" spans="1:22" x14ac:dyDescent="0.2">
      <c r="A41" s="3">
        <v>601501</v>
      </c>
      <c r="B41" s="3" t="s">
        <v>32</v>
      </c>
      <c r="C41" s="1">
        <v>613100</v>
      </c>
      <c r="D41" s="1" t="s">
        <v>32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6">
        <f t="shared" si="8"/>
        <v>0</v>
      </c>
      <c r="V41" s="45" t="e">
        <f t="shared" si="9"/>
        <v>#DIV/0!</v>
      </c>
    </row>
    <row r="42" spans="1:22" x14ac:dyDescent="0.2">
      <c r="A42" s="3">
        <v>601503</v>
      </c>
      <c r="B42" s="3" t="s">
        <v>33</v>
      </c>
      <c r="C42" s="1">
        <v>613210</v>
      </c>
      <c r="D42" s="1" t="s">
        <v>33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6">
        <f t="shared" si="8"/>
        <v>0</v>
      </c>
      <c r="V42" s="45" t="e">
        <f t="shared" si="9"/>
        <v>#DIV/0!</v>
      </c>
    </row>
    <row r="43" spans="1:22" x14ac:dyDescent="0.2">
      <c r="A43" s="3">
        <v>601502</v>
      </c>
      <c r="B43" s="3" t="s">
        <v>331</v>
      </c>
      <c r="C43" s="1">
        <v>613220</v>
      </c>
      <c r="D43" s="1" t="s">
        <v>34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6">
        <f t="shared" si="8"/>
        <v>0</v>
      </c>
      <c r="V43" s="45" t="e">
        <f t="shared" si="9"/>
        <v>#DIV/0!</v>
      </c>
    </row>
    <row r="44" spans="1:22" x14ac:dyDescent="0.2">
      <c r="A44" s="3">
        <v>601509</v>
      </c>
      <c r="B44" s="3" t="s">
        <v>35</v>
      </c>
      <c r="C44" s="1">
        <v>613235</v>
      </c>
      <c r="D44" s="1" t="s">
        <v>35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6">
        <f t="shared" si="8"/>
        <v>0</v>
      </c>
      <c r="V44" s="45" t="e">
        <f t="shared" si="9"/>
        <v>#DIV/0!</v>
      </c>
    </row>
    <row r="45" spans="1:22" x14ac:dyDescent="0.2">
      <c r="A45" s="3">
        <v>601513</v>
      </c>
      <c r="B45" s="3" t="s">
        <v>432</v>
      </c>
      <c r="C45" s="1">
        <v>613400</v>
      </c>
      <c r="D45" s="1" t="s">
        <v>36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6">
        <f t="shared" si="8"/>
        <v>0</v>
      </c>
      <c r="V45" s="45" t="e">
        <f t="shared" si="9"/>
        <v>#DIV/0!</v>
      </c>
    </row>
    <row r="46" spans="1:22" x14ac:dyDescent="0.2">
      <c r="A46" s="3">
        <v>601508</v>
      </c>
      <c r="B46" s="3" t="s">
        <v>307</v>
      </c>
      <c r="C46" s="1">
        <v>613410</v>
      </c>
      <c r="D46" s="1" t="s">
        <v>37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6">
        <f t="shared" si="8"/>
        <v>0</v>
      </c>
      <c r="V46" s="45" t="e">
        <f t="shared" si="9"/>
        <v>#DIV/0!</v>
      </c>
    </row>
    <row r="47" spans="1:22" x14ac:dyDescent="0.2">
      <c r="A47" s="3">
        <v>601500</v>
      </c>
      <c r="B47" s="3" t="s">
        <v>330</v>
      </c>
      <c r="C47" s="1">
        <v>621100</v>
      </c>
      <c r="D47" s="1" t="s">
        <v>38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6">
        <f t="shared" si="8"/>
        <v>0</v>
      </c>
      <c r="V47" s="45" t="e">
        <f t="shared" si="9"/>
        <v>#DIV/0!</v>
      </c>
    </row>
    <row r="48" spans="1:22" x14ac:dyDescent="0.2">
      <c r="A48" s="3">
        <v>601500</v>
      </c>
      <c r="B48" s="3" t="s">
        <v>330</v>
      </c>
      <c r="C48" s="1">
        <v>621110</v>
      </c>
      <c r="D48" s="1" t="s">
        <v>39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6">
        <f t="shared" si="8"/>
        <v>0</v>
      </c>
      <c r="V48" s="45" t="e">
        <f t="shared" si="9"/>
        <v>#DIV/0!</v>
      </c>
    </row>
    <row r="49" spans="1:22" x14ac:dyDescent="0.2">
      <c r="A49" s="3">
        <v>601500</v>
      </c>
      <c r="B49" s="3" t="s">
        <v>330</v>
      </c>
      <c r="C49" s="1">
        <v>621120</v>
      </c>
      <c r="D49" s="1" t="s">
        <v>40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6">
        <f t="shared" si="8"/>
        <v>0</v>
      </c>
      <c r="V49" s="45" t="e">
        <f t="shared" si="9"/>
        <v>#DIV/0!</v>
      </c>
    </row>
    <row r="50" spans="1:22" x14ac:dyDescent="0.2">
      <c r="A50" s="3">
        <v>601500</v>
      </c>
      <c r="B50" s="3" t="s">
        <v>330</v>
      </c>
      <c r="C50" s="1">
        <v>621130</v>
      </c>
      <c r="D50" s="1" t="s">
        <v>41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6">
        <f t="shared" si="8"/>
        <v>0</v>
      </c>
      <c r="V50" s="45" t="e">
        <f t="shared" si="9"/>
        <v>#DIV/0!</v>
      </c>
    </row>
    <row r="51" spans="1:22" x14ac:dyDescent="0.2">
      <c r="A51" s="3">
        <v>601500</v>
      </c>
      <c r="B51" s="3" t="s">
        <v>330</v>
      </c>
      <c r="C51" s="1">
        <v>621140</v>
      </c>
      <c r="D51" s="1" t="s">
        <v>42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6">
        <f t="shared" si="8"/>
        <v>0</v>
      </c>
      <c r="V51" s="45" t="e">
        <f t="shared" si="9"/>
        <v>#DIV/0!</v>
      </c>
    </row>
    <row r="52" spans="1:22" x14ac:dyDescent="0.2">
      <c r="A52" s="3">
        <v>601500</v>
      </c>
      <c r="B52" s="3" t="s">
        <v>330</v>
      </c>
      <c r="C52" s="1">
        <v>621150</v>
      </c>
      <c r="D52" s="1" t="s">
        <v>43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6">
        <f t="shared" si="8"/>
        <v>0</v>
      </c>
      <c r="V52" s="45" t="e">
        <f t="shared" si="9"/>
        <v>#DIV/0!</v>
      </c>
    </row>
    <row r="53" spans="1:22" x14ac:dyDescent="0.2">
      <c r="A53" s="3">
        <v>601505</v>
      </c>
      <c r="B53" s="3" t="s">
        <v>333</v>
      </c>
      <c r="C53" s="1">
        <v>622100</v>
      </c>
      <c r="D53" s="1" t="s">
        <v>44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6">
        <f t="shared" si="8"/>
        <v>0</v>
      </c>
      <c r="V53" s="45" t="e">
        <f t="shared" si="9"/>
        <v>#DIV/0!</v>
      </c>
    </row>
    <row r="54" spans="1:22" x14ac:dyDescent="0.2">
      <c r="A54" s="3">
        <v>601505</v>
      </c>
      <c r="B54" s="3" t="s">
        <v>333</v>
      </c>
      <c r="C54" s="1">
        <v>622140</v>
      </c>
      <c r="D54" s="1" t="s">
        <v>45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6">
        <f t="shared" si="8"/>
        <v>0</v>
      </c>
      <c r="V54" s="45" t="e">
        <f t="shared" si="9"/>
        <v>#DIV/0!</v>
      </c>
    </row>
    <row r="55" spans="1:22" x14ac:dyDescent="0.2">
      <c r="A55" s="3">
        <v>601506</v>
      </c>
      <c r="B55" s="3" t="s">
        <v>334</v>
      </c>
      <c r="C55" s="1">
        <v>623100</v>
      </c>
      <c r="D55" s="1" t="s">
        <v>46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6">
        <f t="shared" si="8"/>
        <v>0</v>
      </c>
      <c r="V55" s="45" t="e">
        <f t="shared" si="9"/>
        <v>#DIV/0!</v>
      </c>
    </row>
    <row r="56" spans="1:22" x14ac:dyDescent="0.2">
      <c r="A56" s="3">
        <v>601506</v>
      </c>
      <c r="B56" s="3" t="s">
        <v>334</v>
      </c>
      <c r="C56" s="1">
        <v>623110</v>
      </c>
      <c r="D56" s="1" t="s">
        <v>47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6">
        <f t="shared" si="8"/>
        <v>0</v>
      </c>
      <c r="V56" s="45" t="e">
        <f t="shared" si="9"/>
        <v>#DIV/0!</v>
      </c>
    </row>
    <row r="57" spans="1:22" x14ac:dyDescent="0.2">
      <c r="A57" s="3">
        <v>601506</v>
      </c>
      <c r="B57" s="3" t="s">
        <v>334</v>
      </c>
      <c r="C57" s="1">
        <v>623120</v>
      </c>
      <c r="D57" s="1" t="s">
        <v>48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6">
        <f t="shared" si="8"/>
        <v>0</v>
      </c>
      <c r="V57" s="45" t="e">
        <f t="shared" si="9"/>
        <v>#DIV/0!</v>
      </c>
    </row>
    <row r="58" spans="1:22" x14ac:dyDescent="0.2">
      <c r="A58" s="3">
        <v>601506</v>
      </c>
      <c r="B58" s="3" t="s">
        <v>334</v>
      </c>
      <c r="C58" s="1">
        <v>623140</v>
      </c>
      <c r="D58" s="1" t="s">
        <v>49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6">
        <f t="shared" si="8"/>
        <v>0</v>
      </c>
      <c r="V58" s="45" t="e">
        <f t="shared" si="9"/>
        <v>#DIV/0!</v>
      </c>
    </row>
    <row r="59" spans="1:22" x14ac:dyDescent="0.2">
      <c r="A59" s="3">
        <v>601506</v>
      </c>
      <c r="B59" s="3" t="s">
        <v>334</v>
      </c>
      <c r="C59" s="1">
        <v>623150</v>
      </c>
      <c r="D59" s="1" t="s">
        <v>50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6">
        <f t="shared" si="8"/>
        <v>0</v>
      </c>
      <c r="V59" s="45" t="e">
        <f t="shared" si="9"/>
        <v>#DIV/0!</v>
      </c>
    </row>
    <row r="60" spans="1:22" x14ac:dyDescent="0.2">
      <c r="A60" s="3">
        <v>601506</v>
      </c>
      <c r="B60" s="3" t="s">
        <v>334</v>
      </c>
      <c r="C60" s="1">
        <v>623160</v>
      </c>
      <c r="D60" s="1" t="s">
        <v>51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6">
        <f t="shared" si="8"/>
        <v>0</v>
      </c>
      <c r="V60" s="45" t="e">
        <f t="shared" si="9"/>
        <v>#DIV/0!</v>
      </c>
    </row>
    <row r="61" spans="1:22" x14ac:dyDescent="0.2">
      <c r="A61" s="3">
        <v>601508</v>
      </c>
      <c r="B61" s="3" t="s">
        <v>307</v>
      </c>
      <c r="C61" s="1">
        <v>624100</v>
      </c>
      <c r="D61" s="1" t="s">
        <v>52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6">
        <f t="shared" si="8"/>
        <v>0</v>
      </c>
      <c r="V61" s="45" t="e">
        <f t="shared" si="9"/>
        <v>#DIV/0!</v>
      </c>
    </row>
    <row r="62" spans="1:22" x14ac:dyDescent="0.2">
      <c r="A62" s="3">
        <v>601508</v>
      </c>
      <c r="B62" s="3" t="s">
        <v>307</v>
      </c>
      <c r="C62" s="1">
        <v>624120</v>
      </c>
      <c r="D62" s="1" t="s">
        <v>53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6">
        <f t="shared" si="8"/>
        <v>0</v>
      </c>
      <c r="V62" s="45" t="e">
        <f t="shared" si="9"/>
        <v>#DIV/0!</v>
      </c>
    </row>
    <row r="63" spans="1:22" x14ac:dyDescent="0.2">
      <c r="A63" s="3">
        <v>601508</v>
      </c>
      <c r="B63" s="3" t="s">
        <v>307</v>
      </c>
      <c r="C63" s="1">
        <v>624125</v>
      </c>
      <c r="D63" s="1" t="s">
        <v>54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6">
        <f t="shared" si="8"/>
        <v>0</v>
      </c>
      <c r="V63" s="45" t="e">
        <f t="shared" si="9"/>
        <v>#DIV/0!</v>
      </c>
    </row>
    <row r="64" spans="1:22" x14ac:dyDescent="0.2">
      <c r="C64" s="1"/>
      <c r="D64" s="5" t="s">
        <v>230</v>
      </c>
      <c r="E64" s="6">
        <f>SUM(E27:E63)</f>
        <v>0</v>
      </c>
      <c r="F64" s="6">
        <f>SUM(F27:F63)</f>
        <v>0</v>
      </c>
      <c r="G64" s="6">
        <f t="shared" ref="G64:U64" si="10">SUM(G27:G63)</f>
        <v>0</v>
      </c>
      <c r="H64" s="6">
        <f t="shared" si="10"/>
        <v>0</v>
      </c>
      <c r="I64" s="6">
        <f t="shared" si="10"/>
        <v>0</v>
      </c>
      <c r="J64" s="6">
        <f t="shared" si="10"/>
        <v>0</v>
      </c>
      <c r="K64" s="6">
        <f t="shared" si="10"/>
        <v>0</v>
      </c>
      <c r="L64" s="6">
        <f t="shared" si="10"/>
        <v>0</v>
      </c>
      <c r="M64" s="6">
        <f t="shared" si="10"/>
        <v>0</v>
      </c>
      <c r="N64" s="6">
        <f t="shared" si="10"/>
        <v>0</v>
      </c>
      <c r="O64" s="6">
        <f t="shared" si="10"/>
        <v>0</v>
      </c>
      <c r="P64" s="6">
        <f t="shared" si="10"/>
        <v>0</v>
      </c>
      <c r="Q64" s="6">
        <f t="shared" si="10"/>
        <v>0</v>
      </c>
      <c r="R64" s="6">
        <f t="shared" si="10"/>
        <v>0</v>
      </c>
      <c r="S64" s="6">
        <f t="shared" si="10"/>
        <v>0</v>
      </c>
      <c r="T64" s="6">
        <f t="shared" si="10"/>
        <v>0</v>
      </c>
      <c r="U64" s="17">
        <f t="shared" si="10"/>
        <v>0</v>
      </c>
      <c r="V64" s="45" t="e">
        <f t="shared" si="9"/>
        <v>#DIV/0!</v>
      </c>
    </row>
    <row r="65" spans="1:22" x14ac:dyDescent="0.2">
      <c r="A65" s="3">
        <v>602400</v>
      </c>
      <c r="B65" s="3" t="s">
        <v>499</v>
      </c>
      <c r="C65" s="1">
        <v>625100</v>
      </c>
      <c r="D65" s="1" t="s">
        <v>55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6">
        <f t="shared" ref="U65:U77" si="11">T65-S65</f>
        <v>0</v>
      </c>
      <c r="V65" s="45" t="e">
        <f t="shared" ref="V65:V80" si="12">U65/S65</f>
        <v>#DIV/0!</v>
      </c>
    </row>
    <row r="66" spans="1:22" x14ac:dyDescent="0.2">
      <c r="A66" s="3">
        <v>602500</v>
      </c>
      <c r="B66" s="3" t="s">
        <v>336</v>
      </c>
      <c r="C66" s="1">
        <v>626100</v>
      </c>
      <c r="D66" s="1" t="s">
        <v>56</v>
      </c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6">
        <f t="shared" si="11"/>
        <v>0</v>
      </c>
      <c r="V66" s="45" t="e">
        <f t="shared" si="12"/>
        <v>#DIV/0!</v>
      </c>
    </row>
    <row r="67" spans="1:22" x14ac:dyDescent="0.2">
      <c r="A67" s="3">
        <v>602100</v>
      </c>
      <c r="B67" s="3" t="s">
        <v>57</v>
      </c>
      <c r="C67" s="1">
        <v>626110</v>
      </c>
      <c r="D67" s="1" t="s">
        <v>57</v>
      </c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6">
        <f t="shared" si="11"/>
        <v>0</v>
      </c>
      <c r="V67" s="45" t="e">
        <f t="shared" si="12"/>
        <v>#DIV/0!</v>
      </c>
    </row>
    <row r="68" spans="1:22" x14ac:dyDescent="0.2">
      <c r="A68" s="3">
        <v>602101</v>
      </c>
      <c r="B68" s="3" t="s">
        <v>58</v>
      </c>
      <c r="C68" s="1">
        <v>626120</v>
      </c>
      <c r="D68" s="1" t="s">
        <v>58</v>
      </c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6">
        <f t="shared" si="11"/>
        <v>0</v>
      </c>
      <c r="V68" s="45" t="e">
        <f t="shared" si="12"/>
        <v>#DIV/0!</v>
      </c>
    </row>
    <row r="69" spans="1:22" x14ac:dyDescent="0.2">
      <c r="A69" s="3">
        <v>602200</v>
      </c>
      <c r="B69" s="3" t="s">
        <v>59</v>
      </c>
      <c r="C69" s="1">
        <v>626130</v>
      </c>
      <c r="D69" s="1" t="s">
        <v>59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6">
        <f t="shared" si="11"/>
        <v>0</v>
      </c>
      <c r="V69" s="45" t="e">
        <f t="shared" si="12"/>
        <v>#DIV/0!</v>
      </c>
    </row>
    <row r="70" spans="1:22" x14ac:dyDescent="0.2">
      <c r="A70" s="3">
        <v>602300</v>
      </c>
      <c r="B70" s="3" t="s">
        <v>60</v>
      </c>
      <c r="C70" s="1">
        <v>626141</v>
      </c>
      <c r="D70" s="1" t="s">
        <v>60</v>
      </c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6">
        <f t="shared" si="11"/>
        <v>0</v>
      </c>
      <c r="V70" s="45" t="e">
        <f t="shared" si="12"/>
        <v>#DIV/0!</v>
      </c>
    </row>
    <row r="71" spans="1:22" x14ac:dyDescent="0.2">
      <c r="A71" s="3">
        <v>602301</v>
      </c>
      <c r="B71" s="3" t="s">
        <v>61</v>
      </c>
      <c r="C71" s="1">
        <v>626142</v>
      </c>
      <c r="D71" s="1" t="s">
        <v>61</v>
      </c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6">
        <f t="shared" si="11"/>
        <v>0</v>
      </c>
      <c r="V71" s="45" t="e">
        <f t="shared" si="12"/>
        <v>#DIV/0!</v>
      </c>
    </row>
    <row r="72" spans="1:22" x14ac:dyDescent="0.2">
      <c r="A72" s="3">
        <v>602001</v>
      </c>
      <c r="B72" s="3" t="s">
        <v>62</v>
      </c>
      <c r="C72" s="1">
        <v>626171</v>
      </c>
      <c r="D72" s="1" t="s">
        <v>62</v>
      </c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6">
        <f t="shared" si="11"/>
        <v>0</v>
      </c>
      <c r="V72" s="45" t="e">
        <f t="shared" si="12"/>
        <v>#DIV/0!</v>
      </c>
    </row>
    <row r="73" spans="1:22" x14ac:dyDescent="0.2">
      <c r="A73" s="3">
        <v>602000</v>
      </c>
      <c r="B73" s="3" t="s">
        <v>63</v>
      </c>
      <c r="C73" s="1">
        <v>626172</v>
      </c>
      <c r="D73" s="1" t="s">
        <v>63</v>
      </c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6">
        <f t="shared" si="11"/>
        <v>0</v>
      </c>
      <c r="V73" s="45" t="e">
        <f t="shared" si="12"/>
        <v>#DIV/0!</v>
      </c>
    </row>
    <row r="74" spans="1:22" x14ac:dyDescent="0.2">
      <c r="A74" s="3">
        <v>602002</v>
      </c>
      <c r="B74" s="3" t="s">
        <v>335</v>
      </c>
      <c r="C74" s="1">
        <v>626173</v>
      </c>
      <c r="D74" s="1" t="s">
        <v>64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6">
        <f t="shared" si="11"/>
        <v>0</v>
      </c>
      <c r="V74" s="45" t="e">
        <f t="shared" si="12"/>
        <v>#DIV/0!</v>
      </c>
    </row>
    <row r="75" spans="1:22" x14ac:dyDescent="0.2">
      <c r="A75" s="3">
        <v>602501</v>
      </c>
      <c r="B75" s="3" t="s">
        <v>434</v>
      </c>
      <c r="C75" s="1">
        <v>626200</v>
      </c>
      <c r="D75" s="1" t="s">
        <v>65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6">
        <f t="shared" si="11"/>
        <v>0</v>
      </c>
      <c r="V75" s="45" t="e">
        <f t="shared" si="12"/>
        <v>#DIV/0!</v>
      </c>
    </row>
    <row r="76" spans="1:22" x14ac:dyDescent="0.2">
      <c r="A76" s="3">
        <v>602502</v>
      </c>
      <c r="B76" s="3" t="s">
        <v>66</v>
      </c>
      <c r="C76" s="1">
        <v>626210</v>
      </c>
      <c r="D76" s="1" t="s">
        <v>66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6">
        <f t="shared" si="11"/>
        <v>0</v>
      </c>
      <c r="V76" s="45" t="e">
        <f t="shared" si="12"/>
        <v>#DIV/0!</v>
      </c>
    </row>
    <row r="77" spans="1:22" x14ac:dyDescent="0.2">
      <c r="A77" s="3">
        <v>602503</v>
      </c>
      <c r="B77" s="3" t="s">
        <v>67</v>
      </c>
      <c r="C77" s="1">
        <v>626300</v>
      </c>
      <c r="D77" s="1" t="s">
        <v>67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6">
        <f t="shared" si="11"/>
        <v>0</v>
      </c>
      <c r="V77" s="45" t="e">
        <f t="shared" si="12"/>
        <v>#DIV/0!</v>
      </c>
    </row>
    <row r="78" spans="1:22" x14ac:dyDescent="0.2">
      <c r="C78" s="1"/>
      <c r="D78" s="5" t="s">
        <v>231</v>
      </c>
      <c r="E78" s="6">
        <f>SUM(E65:E77)</f>
        <v>0</v>
      </c>
      <c r="F78" s="6">
        <f>SUM(F65:F77)</f>
        <v>0</v>
      </c>
      <c r="G78" s="6">
        <f t="shared" ref="G78:U78" si="13">SUM(G65:G77)</f>
        <v>0</v>
      </c>
      <c r="H78" s="6">
        <f t="shared" si="13"/>
        <v>0</v>
      </c>
      <c r="I78" s="6">
        <f t="shared" si="13"/>
        <v>0</v>
      </c>
      <c r="J78" s="6">
        <f t="shared" si="13"/>
        <v>0</v>
      </c>
      <c r="K78" s="6">
        <f t="shared" si="13"/>
        <v>0</v>
      </c>
      <c r="L78" s="6">
        <f t="shared" si="13"/>
        <v>0</v>
      </c>
      <c r="M78" s="6">
        <f t="shared" si="13"/>
        <v>0</v>
      </c>
      <c r="N78" s="6">
        <f t="shared" si="13"/>
        <v>0</v>
      </c>
      <c r="O78" s="6">
        <f t="shared" si="13"/>
        <v>0</v>
      </c>
      <c r="P78" s="6">
        <f t="shared" si="13"/>
        <v>0</v>
      </c>
      <c r="Q78" s="6">
        <f t="shared" si="13"/>
        <v>0</v>
      </c>
      <c r="R78" s="6">
        <f t="shared" si="13"/>
        <v>0</v>
      </c>
      <c r="S78" s="6">
        <f t="shared" si="13"/>
        <v>0</v>
      </c>
      <c r="T78" s="6">
        <f t="shared" ref="T78" si="14">SUM(T65:T77)</f>
        <v>0</v>
      </c>
      <c r="U78" s="17">
        <f t="shared" si="13"/>
        <v>0</v>
      </c>
      <c r="V78" s="45" t="e">
        <f t="shared" si="12"/>
        <v>#DIV/0!</v>
      </c>
    </row>
    <row r="79" spans="1:22" x14ac:dyDescent="0.2"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8"/>
      <c r="V79" s="45"/>
    </row>
    <row r="80" spans="1:22" x14ac:dyDescent="0.2">
      <c r="C80" s="1"/>
      <c r="D80" s="5" t="s">
        <v>232</v>
      </c>
      <c r="E80" s="7">
        <f>E26+E64+E78</f>
        <v>0</v>
      </c>
      <c r="F80" s="7">
        <f>F26+F64+F78</f>
        <v>0</v>
      </c>
      <c r="G80" s="7">
        <f t="shared" ref="G80:U80" si="15">G26+G64+G78</f>
        <v>0</v>
      </c>
      <c r="H80" s="7">
        <f t="shared" si="15"/>
        <v>0</v>
      </c>
      <c r="I80" s="7">
        <f t="shared" si="15"/>
        <v>0</v>
      </c>
      <c r="J80" s="7">
        <f t="shared" si="15"/>
        <v>0</v>
      </c>
      <c r="K80" s="7">
        <f t="shared" si="15"/>
        <v>0</v>
      </c>
      <c r="L80" s="7">
        <f t="shared" si="15"/>
        <v>0</v>
      </c>
      <c r="M80" s="7">
        <f t="shared" si="15"/>
        <v>0</v>
      </c>
      <c r="N80" s="7">
        <f t="shared" si="15"/>
        <v>0</v>
      </c>
      <c r="O80" s="7">
        <f t="shared" si="15"/>
        <v>0</v>
      </c>
      <c r="P80" s="7">
        <f t="shared" si="15"/>
        <v>0</v>
      </c>
      <c r="Q80" s="7">
        <f t="shared" si="15"/>
        <v>0</v>
      </c>
      <c r="R80" s="7">
        <f t="shared" si="15"/>
        <v>0</v>
      </c>
      <c r="S80" s="7">
        <f t="shared" si="15"/>
        <v>0</v>
      </c>
      <c r="T80" s="7">
        <f t="shared" ref="T80" si="16">T26+T64+T78</f>
        <v>0</v>
      </c>
      <c r="U80" s="19">
        <f t="shared" si="15"/>
        <v>0</v>
      </c>
      <c r="V80" s="45" t="e">
        <f t="shared" si="12"/>
        <v>#DIV/0!</v>
      </c>
    </row>
    <row r="81" spans="1:22" x14ac:dyDescent="0.2">
      <c r="A81" s="3">
        <v>703000</v>
      </c>
      <c r="B81" s="3" t="s">
        <v>353</v>
      </c>
      <c r="C81" s="1">
        <v>711100</v>
      </c>
      <c r="D81" s="1" t="s">
        <v>68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6">
        <f t="shared" ref="U81:U144" si="17">T81-S81</f>
        <v>0</v>
      </c>
      <c r="V81" s="45" t="e">
        <f t="shared" ref="V81:V144" si="18">U81/S81</f>
        <v>#DIV/0!</v>
      </c>
    </row>
    <row r="82" spans="1:22" x14ac:dyDescent="0.2">
      <c r="A82" s="3">
        <v>704600</v>
      </c>
      <c r="B82" s="3" t="s">
        <v>355</v>
      </c>
      <c r="C82" s="1">
        <v>711500</v>
      </c>
      <c r="D82" s="1" t="s">
        <v>69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6">
        <f t="shared" si="17"/>
        <v>0</v>
      </c>
      <c r="V82" s="45" t="e">
        <f t="shared" si="18"/>
        <v>#DIV/0!</v>
      </c>
    </row>
    <row r="83" spans="1:22" x14ac:dyDescent="0.2">
      <c r="A83" s="3">
        <v>702106</v>
      </c>
      <c r="B83" s="3" t="s">
        <v>351</v>
      </c>
      <c r="C83" s="1">
        <v>713100</v>
      </c>
      <c r="D83" s="1" t="s">
        <v>70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6">
        <f t="shared" si="17"/>
        <v>0</v>
      </c>
      <c r="V83" s="45" t="e">
        <f t="shared" si="18"/>
        <v>#DIV/0!</v>
      </c>
    </row>
    <row r="84" spans="1:22" x14ac:dyDescent="0.2">
      <c r="A84" s="3">
        <v>702106</v>
      </c>
      <c r="B84" s="3" t="s">
        <v>351</v>
      </c>
      <c r="C84" s="1">
        <v>713101</v>
      </c>
      <c r="D84" s="1" t="s">
        <v>71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6">
        <f t="shared" si="17"/>
        <v>0</v>
      </c>
      <c r="V84" s="45" t="e">
        <f t="shared" si="18"/>
        <v>#DIV/0!</v>
      </c>
    </row>
    <row r="85" spans="1:22" x14ac:dyDescent="0.2">
      <c r="A85" s="3">
        <v>702109</v>
      </c>
      <c r="B85" s="3" t="s">
        <v>72</v>
      </c>
      <c r="C85" s="1">
        <v>713115</v>
      </c>
      <c r="D85" s="1" t="s">
        <v>72</v>
      </c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6">
        <f t="shared" si="17"/>
        <v>0</v>
      </c>
      <c r="V85" s="45" t="e">
        <f t="shared" si="18"/>
        <v>#DIV/0!</v>
      </c>
    </row>
    <row r="86" spans="1:22" x14ac:dyDescent="0.2">
      <c r="A86" s="3">
        <v>702111</v>
      </c>
      <c r="B86" s="3" t="s">
        <v>352</v>
      </c>
      <c r="C86" s="1">
        <v>713125</v>
      </c>
      <c r="D86" s="1" t="s">
        <v>73</v>
      </c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6">
        <f t="shared" si="17"/>
        <v>0</v>
      </c>
      <c r="V86" s="45" t="e">
        <f t="shared" si="18"/>
        <v>#DIV/0!</v>
      </c>
    </row>
    <row r="87" spans="1:22" x14ac:dyDescent="0.2">
      <c r="A87" s="3">
        <v>702200</v>
      </c>
      <c r="B87" s="3" t="s">
        <v>74</v>
      </c>
      <c r="C87" s="1">
        <v>713135</v>
      </c>
      <c r="D87" s="1" t="s">
        <v>74</v>
      </c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6">
        <f t="shared" si="17"/>
        <v>0</v>
      </c>
      <c r="V87" s="45" t="e">
        <f t="shared" si="18"/>
        <v>#DIV/0!</v>
      </c>
    </row>
    <row r="88" spans="1:22" x14ac:dyDescent="0.2">
      <c r="A88" s="3">
        <v>702103</v>
      </c>
      <c r="B88" s="3" t="s">
        <v>349</v>
      </c>
      <c r="C88" s="1">
        <v>713140</v>
      </c>
      <c r="D88" s="1" t="s">
        <v>75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6">
        <f t="shared" si="17"/>
        <v>0</v>
      </c>
      <c r="V88" s="45" t="e">
        <f t="shared" si="18"/>
        <v>#DIV/0!</v>
      </c>
    </row>
    <row r="89" spans="1:22" x14ac:dyDescent="0.2">
      <c r="A89" s="3">
        <v>705700</v>
      </c>
      <c r="B89" s="3" t="s">
        <v>437</v>
      </c>
      <c r="C89" s="1">
        <v>713145</v>
      </c>
      <c r="D89" s="1" t="s">
        <v>76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6">
        <f t="shared" si="17"/>
        <v>0</v>
      </c>
      <c r="V89" s="45" t="e">
        <f t="shared" si="18"/>
        <v>#DIV/0!</v>
      </c>
    </row>
    <row r="90" spans="1:22" x14ac:dyDescent="0.2">
      <c r="A90" s="3">
        <v>701000</v>
      </c>
      <c r="B90" s="3" t="s">
        <v>77</v>
      </c>
      <c r="C90" s="1">
        <v>721100</v>
      </c>
      <c r="D90" s="1" t="s">
        <v>77</v>
      </c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6">
        <f t="shared" si="17"/>
        <v>0</v>
      </c>
      <c r="V90" s="45" t="e">
        <f t="shared" si="18"/>
        <v>#DIV/0!</v>
      </c>
    </row>
    <row r="91" spans="1:22" x14ac:dyDescent="0.2">
      <c r="A91" s="3">
        <v>701001</v>
      </c>
      <c r="B91" s="3" t="s">
        <v>78</v>
      </c>
      <c r="C91" s="1">
        <v>721105</v>
      </c>
      <c r="D91" s="1" t="s">
        <v>78</v>
      </c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6">
        <f t="shared" si="17"/>
        <v>0</v>
      </c>
      <c r="V91" s="45" t="e">
        <f t="shared" si="18"/>
        <v>#DIV/0!</v>
      </c>
    </row>
    <row r="92" spans="1:22" x14ac:dyDescent="0.2">
      <c r="A92" s="3">
        <v>701200</v>
      </c>
      <c r="B92" s="3" t="s">
        <v>338</v>
      </c>
      <c r="C92" s="1">
        <v>721110</v>
      </c>
      <c r="D92" s="1" t="s">
        <v>79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6">
        <f t="shared" si="17"/>
        <v>0</v>
      </c>
      <c r="V92" s="45" t="e">
        <f t="shared" si="18"/>
        <v>#DIV/0!</v>
      </c>
    </row>
    <row r="93" spans="1:22" x14ac:dyDescent="0.2">
      <c r="A93" s="3">
        <v>701202</v>
      </c>
      <c r="B93" s="3" t="s">
        <v>80</v>
      </c>
      <c r="C93" s="1">
        <v>721115</v>
      </c>
      <c r="D93" s="1" t="s">
        <v>80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6">
        <f t="shared" si="17"/>
        <v>0</v>
      </c>
      <c r="V93" s="45" t="e">
        <f t="shared" si="18"/>
        <v>#DIV/0!</v>
      </c>
    </row>
    <row r="94" spans="1:22" x14ac:dyDescent="0.2">
      <c r="A94" s="3">
        <v>701404</v>
      </c>
      <c r="B94" s="3" t="s">
        <v>343</v>
      </c>
      <c r="C94" s="1">
        <v>721120</v>
      </c>
      <c r="D94" s="1" t="s">
        <v>81</v>
      </c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6">
        <f t="shared" si="17"/>
        <v>0</v>
      </c>
      <c r="V94" s="45" t="e">
        <f t="shared" si="18"/>
        <v>#DIV/0!</v>
      </c>
    </row>
    <row r="95" spans="1:22" x14ac:dyDescent="0.2">
      <c r="A95" s="3">
        <v>701100</v>
      </c>
      <c r="B95" s="3" t="s">
        <v>337</v>
      </c>
      <c r="C95" s="1">
        <v>721125</v>
      </c>
      <c r="D95" s="1" t="s">
        <v>82</v>
      </c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6">
        <f t="shared" si="17"/>
        <v>0</v>
      </c>
      <c r="V95" s="45" t="e">
        <f t="shared" si="18"/>
        <v>#DIV/0!</v>
      </c>
    </row>
    <row r="96" spans="1:22" x14ac:dyDescent="0.2">
      <c r="A96" s="3">
        <v>701301</v>
      </c>
      <c r="B96" s="3" t="s">
        <v>339</v>
      </c>
      <c r="C96" s="1">
        <v>721135</v>
      </c>
      <c r="D96" s="1" t="s">
        <v>83</v>
      </c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6">
        <f t="shared" si="17"/>
        <v>0</v>
      </c>
      <c r="V96" s="45" t="e">
        <f t="shared" si="18"/>
        <v>#DIV/0!</v>
      </c>
    </row>
    <row r="97" spans="1:22" x14ac:dyDescent="0.2">
      <c r="A97" s="3">
        <v>701403</v>
      </c>
      <c r="B97" s="3" t="s">
        <v>342</v>
      </c>
      <c r="C97" s="1">
        <v>721140</v>
      </c>
      <c r="D97" s="1" t="s">
        <v>84</v>
      </c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6">
        <f t="shared" si="17"/>
        <v>0</v>
      </c>
      <c r="V97" s="45" t="e">
        <f t="shared" si="18"/>
        <v>#DIV/0!</v>
      </c>
    </row>
    <row r="98" spans="1:22" x14ac:dyDescent="0.2">
      <c r="A98" s="3">
        <v>701302</v>
      </c>
      <c r="B98" s="3" t="s">
        <v>340</v>
      </c>
      <c r="C98" s="1">
        <v>721145</v>
      </c>
      <c r="D98" s="1" t="s">
        <v>85</v>
      </c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6">
        <f t="shared" si="17"/>
        <v>0</v>
      </c>
      <c r="V98" s="45" t="e">
        <f t="shared" si="18"/>
        <v>#DIV/0!</v>
      </c>
    </row>
    <row r="99" spans="1:22" x14ac:dyDescent="0.2">
      <c r="A99" s="3">
        <v>701400</v>
      </c>
      <c r="B99" s="3" t="s">
        <v>341</v>
      </c>
      <c r="C99" s="1">
        <v>721146</v>
      </c>
      <c r="D99" s="1" t="s">
        <v>86</v>
      </c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6">
        <f t="shared" si="17"/>
        <v>0</v>
      </c>
      <c r="V99" s="45" t="e">
        <f t="shared" si="18"/>
        <v>#DIV/0!</v>
      </c>
    </row>
    <row r="100" spans="1:22" x14ac:dyDescent="0.2">
      <c r="A100" s="3">
        <v>701406</v>
      </c>
      <c r="B100" s="3" t="s">
        <v>345</v>
      </c>
      <c r="C100" s="1">
        <v>721150</v>
      </c>
      <c r="D100" s="1" t="s">
        <v>87</v>
      </c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6">
        <f t="shared" si="17"/>
        <v>0</v>
      </c>
      <c r="V100" s="45" t="e">
        <f t="shared" si="18"/>
        <v>#DIV/0!</v>
      </c>
    </row>
    <row r="101" spans="1:22" x14ac:dyDescent="0.2">
      <c r="A101" s="3">
        <v>701405</v>
      </c>
      <c r="B101" s="3" t="s">
        <v>344</v>
      </c>
      <c r="C101" s="1">
        <v>721160</v>
      </c>
      <c r="D101" s="1" t="s">
        <v>88</v>
      </c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6">
        <f t="shared" si="17"/>
        <v>0</v>
      </c>
      <c r="V101" s="45" t="e">
        <f t="shared" si="18"/>
        <v>#DIV/0!</v>
      </c>
    </row>
    <row r="102" spans="1:22" x14ac:dyDescent="0.2">
      <c r="A102" s="3">
        <v>701500</v>
      </c>
      <c r="B102" s="3" t="s">
        <v>346</v>
      </c>
      <c r="C102" s="1">
        <v>722100</v>
      </c>
      <c r="D102" s="1" t="s">
        <v>89</v>
      </c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6">
        <f t="shared" si="17"/>
        <v>0</v>
      </c>
      <c r="V102" s="45" t="e">
        <f t="shared" si="18"/>
        <v>#DIV/0!</v>
      </c>
    </row>
    <row r="103" spans="1:22" x14ac:dyDescent="0.2">
      <c r="A103" s="3">
        <v>701501</v>
      </c>
      <c r="B103" s="3" t="s">
        <v>90</v>
      </c>
      <c r="C103" s="1">
        <v>722105</v>
      </c>
      <c r="D103" s="1" t="s">
        <v>90</v>
      </c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6">
        <f t="shared" si="17"/>
        <v>0</v>
      </c>
      <c r="V103" s="45" t="e">
        <f t="shared" si="18"/>
        <v>#DIV/0!</v>
      </c>
    </row>
    <row r="104" spans="1:22" x14ac:dyDescent="0.2">
      <c r="A104" s="3">
        <v>701502</v>
      </c>
      <c r="B104" s="3" t="s">
        <v>91</v>
      </c>
      <c r="C104" s="1">
        <v>722110</v>
      </c>
      <c r="D104" s="1" t="s">
        <v>91</v>
      </c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6">
        <f t="shared" si="17"/>
        <v>0</v>
      </c>
      <c r="V104" s="45" t="e">
        <f t="shared" si="18"/>
        <v>#DIV/0!</v>
      </c>
    </row>
    <row r="105" spans="1:22" x14ac:dyDescent="0.2">
      <c r="A105" s="3">
        <v>701600</v>
      </c>
      <c r="B105" s="3" t="s">
        <v>92</v>
      </c>
      <c r="C105" s="1">
        <v>723100</v>
      </c>
      <c r="D105" s="1" t="s">
        <v>92</v>
      </c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6">
        <f t="shared" si="17"/>
        <v>0</v>
      </c>
      <c r="V105" s="45" t="e">
        <f t="shared" si="18"/>
        <v>#DIV/0!</v>
      </c>
    </row>
    <row r="106" spans="1:22" x14ac:dyDescent="0.2">
      <c r="A106" s="3">
        <v>701602</v>
      </c>
      <c r="B106" s="3" t="s">
        <v>93</v>
      </c>
      <c r="C106" s="1">
        <v>723120</v>
      </c>
      <c r="D106" s="1" t="s">
        <v>93</v>
      </c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6">
        <f t="shared" si="17"/>
        <v>0</v>
      </c>
      <c r="V106" s="45" t="e">
        <f t="shared" si="18"/>
        <v>#DIV/0!</v>
      </c>
    </row>
    <row r="107" spans="1:22" x14ac:dyDescent="0.2">
      <c r="A107" s="3">
        <v>701603</v>
      </c>
      <c r="B107" s="3" t="s">
        <v>94</v>
      </c>
      <c r="C107" s="1">
        <v>723130</v>
      </c>
      <c r="D107" s="1" t="s">
        <v>94</v>
      </c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6">
        <f t="shared" si="17"/>
        <v>0</v>
      </c>
      <c r="V107" s="45" t="e">
        <f t="shared" si="18"/>
        <v>#DIV/0!</v>
      </c>
    </row>
    <row r="108" spans="1:22" x14ac:dyDescent="0.2">
      <c r="A108" s="3">
        <v>705102</v>
      </c>
      <c r="B108" s="3" t="s">
        <v>362</v>
      </c>
      <c r="C108" s="1">
        <v>731205</v>
      </c>
      <c r="D108" s="1" t="s">
        <v>95</v>
      </c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6">
        <f t="shared" si="17"/>
        <v>0</v>
      </c>
      <c r="V108" s="45" t="e">
        <f t="shared" si="18"/>
        <v>#DIV/0!</v>
      </c>
    </row>
    <row r="109" spans="1:22" x14ac:dyDescent="0.2">
      <c r="A109" s="3">
        <v>705000</v>
      </c>
      <c r="B109" s="3" t="s">
        <v>356</v>
      </c>
      <c r="C109" s="1">
        <v>732100</v>
      </c>
      <c r="D109" s="1" t="s">
        <v>96</v>
      </c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6">
        <f t="shared" si="17"/>
        <v>0</v>
      </c>
      <c r="V109" s="45" t="e">
        <f t="shared" si="18"/>
        <v>#DIV/0!</v>
      </c>
    </row>
    <row r="110" spans="1:22" x14ac:dyDescent="0.2">
      <c r="A110" s="3">
        <v>705100</v>
      </c>
      <c r="B110" s="3" t="s">
        <v>360</v>
      </c>
      <c r="C110" s="1">
        <v>732105</v>
      </c>
      <c r="D110" s="1" t="s">
        <v>97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6">
        <f t="shared" si="17"/>
        <v>0</v>
      </c>
      <c r="V110" s="45" t="e">
        <f t="shared" si="18"/>
        <v>#DIV/0!</v>
      </c>
    </row>
    <row r="111" spans="1:22" x14ac:dyDescent="0.2">
      <c r="A111" s="3">
        <v>705300</v>
      </c>
      <c r="B111" s="3" t="s">
        <v>98</v>
      </c>
      <c r="C111" s="1">
        <v>732110</v>
      </c>
      <c r="D111" s="1" t="s">
        <v>98</v>
      </c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6">
        <f t="shared" si="17"/>
        <v>0</v>
      </c>
      <c r="V111" s="45" t="e">
        <f t="shared" si="18"/>
        <v>#DIV/0!</v>
      </c>
    </row>
    <row r="112" spans="1:22" x14ac:dyDescent="0.2">
      <c r="A112" s="3">
        <v>705500</v>
      </c>
      <c r="B112" s="3" t="s">
        <v>363</v>
      </c>
      <c r="C112" s="1">
        <v>732115</v>
      </c>
      <c r="D112" s="1" t="s">
        <v>99</v>
      </c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16">
        <f t="shared" si="17"/>
        <v>0</v>
      </c>
      <c r="V112" s="45" t="e">
        <f t="shared" si="18"/>
        <v>#DIV/0!</v>
      </c>
    </row>
    <row r="113" spans="1:22" x14ac:dyDescent="0.2">
      <c r="A113" s="3">
        <v>705003</v>
      </c>
      <c r="B113" s="3" t="s">
        <v>359</v>
      </c>
      <c r="C113" s="1">
        <v>732200</v>
      </c>
      <c r="D113" s="1" t="s">
        <v>100</v>
      </c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16">
        <f t="shared" si="17"/>
        <v>0</v>
      </c>
      <c r="V113" s="45" t="e">
        <f t="shared" si="18"/>
        <v>#DIV/0!</v>
      </c>
    </row>
    <row r="114" spans="1:22" x14ac:dyDescent="0.2">
      <c r="A114" s="3">
        <v>705103</v>
      </c>
      <c r="B114" s="3" t="s">
        <v>440</v>
      </c>
      <c r="C114" s="1">
        <v>732205</v>
      </c>
      <c r="D114" s="1" t="s">
        <v>101</v>
      </c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16">
        <f t="shared" si="17"/>
        <v>0</v>
      </c>
      <c r="V114" s="45" t="e">
        <f t="shared" si="18"/>
        <v>#DIV/0!</v>
      </c>
    </row>
    <row r="115" spans="1:22" x14ac:dyDescent="0.2">
      <c r="A115" s="3">
        <v>705801</v>
      </c>
      <c r="B115" s="3" t="s">
        <v>365</v>
      </c>
      <c r="C115" s="1">
        <v>732210</v>
      </c>
      <c r="D115" s="1" t="s">
        <v>102</v>
      </c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16">
        <f t="shared" si="17"/>
        <v>0</v>
      </c>
      <c r="V115" s="45" t="e">
        <f t="shared" si="18"/>
        <v>#DIV/0!</v>
      </c>
    </row>
    <row r="116" spans="1:22" x14ac:dyDescent="0.2">
      <c r="A116" s="3">
        <v>705003</v>
      </c>
      <c r="B116" s="3" t="s">
        <v>359</v>
      </c>
      <c r="C116" s="1">
        <v>732215</v>
      </c>
      <c r="D116" s="1" t="s">
        <v>103</v>
      </c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16">
        <f t="shared" si="17"/>
        <v>0</v>
      </c>
      <c r="V116" s="45" t="e">
        <f t="shared" si="18"/>
        <v>#DIV/0!</v>
      </c>
    </row>
    <row r="117" spans="1:22" x14ac:dyDescent="0.2">
      <c r="A117" s="3">
        <v>705300</v>
      </c>
      <c r="B117" s="3" t="s">
        <v>98</v>
      </c>
      <c r="C117" s="1">
        <v>732225</v>
      </c>
      <c r="D117" s="1" t="s">
        <v>104</v>
      </c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16">
        <f t="shared" si="17"/>
        <v>0</v>
      </c>
      <c r="V117" s="45" t="e">
        <f t="shared" si="18"/>
        <v>#DIV/0!</v>
      </c>
    </row>
    <row r="118" spans="1:22" x14ac:dyDescent="0.2">
      <c r="A118" s="3">
        <v>705800</v>
      </c>
      <c r="B118" s="3" t="s">
        <v>364</v>
      </c>
      <c r="C118" s="1">
        <v>732300</v>
      </c>
      <c r="D118" s="1" t="s">
        <v>105</v>
      </c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16">
        <f t="shared" si="17"/>
        <v>0</v>
      </c>
      <c r="V118" s="45" t="e">
        <f t="shared" si="18"/>
        <v>#DIV/0!</v>
      </c>
    </row>
    <row r="119" spans="1:22" x14ac:dyDescent="0.2">
      <c r="A119" s="3">
        <v>706007</v>
      </c>
      <c r="B119" s="3" t="s">
        <v>371</v>
      </c>
      <c r="C119" s="1">
        <v>741100</v>
      </c>
      <c r="D119" s="1" t="s">
        <v>106</v>
      </c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16">
        <f t="shared" si="17"/>
        <v>0</v>
      </c>
      <c r="V119" s="45" t="e">
        <f t="shared" si="18"/>
        <v>#DIV/0!</v>
      </c>
    </row>
    <row r="120" spans="1:22" x14ac:dyDescent="0.2">
      <c r="A120" s="3">
        <v>706000</v>
      </c>
      <c r="B120" s="3" t="s">
        <v>366</v>
      </c>
      <c r="C120" s="1">
        <v>741110</v>
      </c>
      <c r="D120" s="1" t="s">
        <v>107</v>
      </c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6">
        <f t="shared" si="17"/>
        <v>0</v>
      </c>
      <c r="V120" s="45" t="e">
        <f t="shared" si="18"/>
        <v>#DIV/0!</v>
      </c>
    </row>
    <row r="121" spans="1:22" x14ac:dyDescent="0.2">
      <c r="A121" s="3">
        <v>706100</v>
      </c>
      <c r="B121" s="3" t="s">
        <v>372</v>
      </c>
      <c r="C121" s="1">
        <v>742120</v>
      </c>
      <c r="D121" s="1" t="s">
        <v>108</v>
      </c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6">
        <f t="shared" si="17"/>
        <v>0</v>
      </c>
      <c r="V121" s="45" t="e">
        <f t="shared" si="18"/>
        <v>#DIV/0!</v>
      </c>
    </row>
    <row r="122" spans="1:22" x14ac:dyDescent="0.2">
      <c r="A122" s="3">
        <v>706200</v>
      </c>
      <c r="B122" s="3" t="s">
        <v>374</v>
      </c>
      <c r="C122" s="1">
        <v>743100</v>
      </c>
      <c r="D122" s="1" t="s">
        <v>109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6">
        <f t="shared" si="17"/>
        <v>0</v>
      </c>
      <c r="V122" s="45" t="e">
        <f t="shared" si="18"/>
        <v>#DIV/0!</v>
      </c>
    </row>
    <row r="123" spans="1:22" x14ac:dyDescent="0.2">
      <c r="A123" s="3">
        <v>706200</v>
      </c>
      <c r="B123" s="3" t="s">
        <v>374</v>
      </c>
      <c r="C123" s="1">
        <v>743200</v>
      </c>
      <c r="D123" s="1" t="s">
        <v>110</v>
      </c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6">
        <f t="shared" si="17"/>
        <v>0</v>
      </c>
      <c r="V123" s="45" t="e">
        <f t="shared" si="18"/>
        <v>#DIV/0!</v>
      </c>
    </row>
    <row r="124" spans="1:22" x14ac:dyDescent="0.2">
      <c r="A124" s="3">
        <v>706202</v>
      </c>
      <c r="B124" s="3" t="s">
        <v>375</v>
      </c>
      <c r="C124" s="1">
        <v>743300</v>
      </c>
      <c r="D124" s="1" t="s">
        <v>111</v>
      </c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6">
        <f t="shared" si="17"/>
        <v>0</v>
      </c>
      <c r="V124" s="45" t="e">
        <f t="shared" si="18"/>
        <v>#DIV/0!</v>
      </c>
    </row>
    <row r="125" spans="1:22" x14ac:dyDescent="0.2">
      <c r="A125" s="3">
        <v>706203</v>
      </c>
      <c r="B125" s="3" t="s">
        <v>376</v>
      </c>
      <c r="C125" s="1">
        <v>743400</v>
      </c>
      <c r="D125" s="1" t="s">
        <v>112</v>
      </c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6">
        <f t="shared" si="17"/>
        <v>0</v>
      </c>
      <c r="V125" s="45" t="e">
        <f t="shared" si="18"/>
        <v>#DIV/0!</v>
      </c>
    </row>
    <row r="126" spans="1:22" x14ac:dyDescent="0.2">
      <c r="A126" s="3">
        <v>706204</v>
      </c>
      <c r="B126" s="3" t="s">
        <v>377</v>
      </c>
      <c r="C126" s="1">
        <v>743500</v>
      </c>
      <c r="D126" s="1" t="s">
        <v>113</v>
      </c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6">
        <f t="shared" si="17"/>
        <v>0</v>
      </c>
      <c r="V126" s="45" t="e">
        <f t="shared" si="18"/>
        <v>#DIV/0!</v>
      </c>
    </row>
    <row r="127" spans="1:22" x14ac:dyDescent="0.2">
      <c r="A127" s="3">
        <v>706300</v>
      </c>
      <c r="B127" s="3" t="s">
        <v>378</v>
      </c>
      <c r="C127" s="1">
        <v>744100</v>
      </c>
      <c r="D127" s="1" t="s">
        <v>114</v>
      </c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6">
        <f t="shared" si="17"/>
        <v>0</v>
      </c>
      <c r="V127" s="45" t="e">
        <f t="shared" si="18"/>
        <v>#DIV/0!</v>
      </c>
    </row>
    <row r="128" spans="1:22" x14ac:dyDescent="0.2">
      <c r="A128" s="3">
        <v>706300</v>
      </c>
      <c r="B128" s="3" t="s">
        <v>378</v>
      </c>
      <c r="C128" s="1">
        <v>744110</v>
      </c>
      <c r="D128" s="1" t="s">
        <v>115</v>
      </c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6">
        <f t="shared" si="17"/>
        <v>0</v>
      </c>
      <c r="V128" s="45" t="e">
        <f t="shared" si="18"/>
        <v>#DIV/0!</v>
      </c>
    </row>
    <row r="129" spans="1:22" x14ac:dyDescent="0.2">
      <c r="A129" s="3">
        <v>706301</v>
      </c>
      <c r="B129" s="3" t="s">
        <v>379</v>
      </c>
      <c r="C129" s="1">
        <v>744115</v>
      </c>
      <c r="D129" s="1" t="s">
        <v>116</v>
      </c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6">
        <f t="shared" si="17"/>
        <v>0</v>
      </c>
      <c r="V129" s="45" t="e">
        <f t="shared" si="18"/>
        <v>#DIV/0!</v>
      </c>
    </row>
    <row r="130" spans="1:22" x14ac:dyDescent="0.2">
      <c r="A130" s="3">
        <v>706302</v>
      </c>
      <c r="B130" s="3" t="s">
        <v>380</v>
      </c>
      <c r="C130" s="1">
        <v>744125</v>
      </c>
      <c r="D130" s="1" t="s">
        <v>117</v>
      </c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6">
        <f t="shared" si="17"/>
        <v>0</v>
      </c>
      <c r="V130" s="45" t="e">
        <f t="shared" si="18"/>
        <v>#DIV/0!</v>
      </c>
    </row>
    <row r="131" spans="1:22" x14ac:dyDescent="0.2">
      <c r="A131" s="3">
        <v>706400</v>
      </c>
      <c r="B131" s="3" t="s">
        <v>381</v>
      </c>
      <c r="C131" s="1">
        <v>744130</v>
      </c>
      <c r="D131" s="1" t="s">
        <v>118</v>
      </c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6">
        <f t="shared" si="17"/>
        <v>0</v>
      </c>
      <c r="V131" s="45" t="e">
        <f t="shared" si="18"/>
        <v>#DIV/0!</v>
      </c>
    </row>
    <row r="132" spans="1:22" x14ac:dyDescent="0.2">
      <c r="A132" s="3">
        <v>706400</v>
      </c>
      <c r="B132" s="3" t="s">
        <v>381</v>
      </c>
      <c r="C132" s="1">
        <v>744135</v>
      </c>
      <c r="D132" s="1" t="s">
        <v>119</v>
      </c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6">
        <f t="shared" si="17"/>
        <v>0</v>
      </c>
      <c r="V132" s="45" t="e">
        <f t="shared" si="18"/>
        <v>#DIV/0!</v>
      </c>
    </row>
    <row r="133" spans="1:22" x14ac:dyDescent="0.2">
      <c r="A133" s="3">
        <v>706504</v>
      </c>
      <c r="B133" s="3" t="s">
        <v>385</v>
      </c>
      <c r="C133" s="1">
        <v>744140</v>
      </c>
      <c r="D133" s="1" t="s">
        <v>120</v>
      </c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6">
        <f t="shared" si="17"/>
        <v>0</v>
      </c>
      <c r="V133" s="45" t="e">
        <f t="shared" si="18"/>
        <v>#DIV/0!</v>
      </c>
    </row>
    <row r="134" spans="1:22" x14ac:dyDescent="0.2">
      <c r="A134" s="3">
        <v>706700</v>
      </c>
      <c r="B134" s="3" t="s">
        <v>390</v>
      </c>
      <c r="C134" s="1">
        <v>745100</v>
      </c>
      <c r="D134" s="1" t="s">
        <v>121</v>
      </c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6">
        <f t="shared" si="17"/>
        <v>0</v>
      </c>
      <c r="V134" s="45" t="e">
        <f t="shared" si="18"/>
        <v>#DIV/0!</v>
      </c>
    </row>
    <row r="135" spans="1:22" x14ac:dyDescent="0.2">
      <c r="A135" s="3">
        <v>706605</v>
      </c>
      <c r="B135" s="3" t="s">
        <v>389</v>
      </c>
      <c r="C135" s="1">
        <v>745105</v>
      </c>
      <c r="D135" s="1" t="s">
        <v>122</v>
      </c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6">
        <f t="shared" si="17"/>
        <v>0</v>
      </c>
      <c r="V135" s="45" t="e">
        <f t="shared" si="18"/>
        <v>#DIV/0!</v>
      </c>
    </row>
    <row r="136" spans="1:22" x14ac:dyDescent="0.2">
      <c r="A136" s="3">
        <v>706605</v>
      </c>
      <c r="B136" s="3" t="s">
        <v>389</v>
      </c>
      <c r="C136" s="1">
        <v>745110</v>
      </c>
      <c r="D136" s="1" t="s">
        <v>123</v>
      </c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6">
        <f t="shared" si="17"/>
        <v>0</v>
      </c>
      <c r="V136" s="45" t="e">
        <f t="shared" si="18"/>
        <v>#DIV/0!</v>
      </c>
    </row>
    <row r="137" spans="1:22" x14ac:dyDescent="0.2">
      <c r="A137" s="3">
        <v>706601</v>
      </c>
      <c r="B137" s="3" t="s">
        <v>387</v>
      </c>
      <c r="C137" s="1">
        <v>745115</v>
      </c>
      <c r="D137" s="1" t="s">
        <v>124</v>
      </c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6">
        <f t="shared" si="17"/>
        <v>0</v>
      </c>
      <c r="V137" s="45" t="e">
        <f t="shared" si="18"/>
        <v>#DIV/0!</v>
      </c>
    </row>
    <row r="138" spans="1:22" x14ac:dyDescent="0.2">
      <c r="A138" s="3">
        <v>707001</v>
      </c>
      <c r="B138" s="3" t="s">
        <v>392</v>
      </c>
      <c r="C138" s="1">
        <v>751100</v>
      </c>
      <c r="D138" s="1" t="s">
        <v>125</v>
      </c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6">
        <f t="shared" si="17"/>
        <v>0</v>
      </c>
      <c r="V138" s="45" t="e">
        <f t="shared" si="18"/>
        <v>#DIV/0!</v>
      </c>
    </row>
    <row r="139" spans="1:22" x14ac:dyDescent="0.2">
      <c r="A139" s="3">
        <v>707000</v>
      </c>
      <c r="B139" s="3" t="s">
        <v>391</v>
      </c>
      <c r="C139" s="1">
        <v>751110</v>
      </c>
      <c r="D139" s="1" t="s">
        <v>126</v>
      </c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6">
        <f t="shared" si="17"/>
        <v>0</v>
      </c>
      <c r="V139" s="45" t="e">
        <f t="shared" si="18"/>
        <v>#DIV/0!</v>
      </c>
    </row>
    <row r="140" spans="1:22" x14ac:dyDescent="0.2">
      <c r="A140" s="3">
        <v>707101</v>
      </c>
      <c r="B140" s="3" t="s">
        <v>395</v>
      </c>
      <c r="C140" s="1">
        <v>752100</v>
      </c>
      <c r="D140" s="1" t="s">
        <v>127</v>
      </c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6">
        <f t="shared" si="17"/>
        <v>0</v>
      </c>
      <c r="V140" s="45" t="e">
        <f t="shared" si="18"/>
        <v>#DIV/0!</v>
      </c>
    </row>
    <row r="141" spans="1:22" x14ac:dyDescent="0.2">
      <c r="A141" s="3">
        <v>707100</v>
      </c>
      <c r="B141" s="3" t="s">
        <v>394</v>
      </c>
      <c r="C141" s="1">
        <v>752105</v>
      </c>
      <c r="D141" s="1" t="s">
        <v>128</v>
      </c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6">
        <f t="shared" si="17"/>
        <v>0</v>
      </c>
      <c r="V141" s="45" t="e">
        <f t="shared" si="18"/>
        <v>#DIV/0!</v>
      </c>
    </row>
    <row r="142" spans="1:22" x14ac:dyDescent="0.2">
      <c r="A142" s="3">
        <v>707100</v>
      </c>
      <c r="B142" s="3" t="s">
        <v>394</v>
      </c>
      <c r="C142" s="1">
        <v>752110</v>
      </c>
      <c r="D142" s="1" t="s">
        <v>129</v>
      </c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6">
        <f t="shared" si="17"/>
        <v>0</v>
      </c>
      <c r="V142" s="45" t="e">
        <f t="shared" si="18"/>
        <v>#DIV/0!</v>
      </c>
    </row>
    <row r="143" spans="1:22" x14ac:dyDescent="0.2">
      <c r="A143" s="3">
        <v>707101</v>
      </c>
      <c r="B143" s="3" t="s">
        <v>395</v>
      </c>
      <c r="C143" s="1">
        <v>752115</v>
      </c>
      <c r="D143" s="1" t="s">
        <v>130</v>
      </c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6">
        <f t="shared" si="17"/>
        <v>0</v>
      </c>
      <c r="V143" s="45" t="e">
        <f t="shared" si="18"/>
        <v>#DIV/0!</v>
      </c>
    </row>
    <row r="144" spans="1:22" x14ac:dyDescent="0.2">
      <c r="A144" s="3">
        <v>707153</v>
      </c>
      <c r="B144" s="3" t="s">
        <v>399</v>
      </c>
      <c r="C144" s="1">
        <v>753100</v>
      </c>
      <c r="D144" s="1" t="s">
        <v>131</v>
      </c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6">
        <f t="shared" si="17"/>
        <v>0</v>
      </c>
      <c r="V144" s="45" t="e">
        <f t="shared" si="18"/>
        <v>#DIV/0!</v>
      </c>
    </row>
    <row r="145" spans="1:22" x14ac:dyDescent="0.2">
      <c r="A145" s="3">
        <v>707001</v>
      </c>
      <c r="B145" s="3" t="s">
        <v>392</v>
      </c>
      <c r="C145" s="1">
        <v>761100</v>
      </c>
      <c r="D145" s="1" t="s">
        <v>132</v>
      </c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6">
        <f t="shared" ref="U145:U190" si="19">T145-S145</f>
        <v>0</v>
      </c>
      <c r="V145" s="45" t="e">
        <f t="shared" ref="V145:V191" si="20">U145/S145</f>
        <v>#DIV/0!</v>
      </c>
    </row>
    <row r="146" spans="1:22" x14ac:dyDescent="0.2">
      <c r="A146" s="3">
        <v>707001</v>
      </c>
      <c r="B146" s="3" t="s">
        <v>392</v>
      </c>
      <c r="C146" s="1">
        <v>761104</v>
      </c>
      <c r="D146" s="1" t="s">
        <v>133</v>
      </c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6">
        <f t="shared" si="19"/>
        <v>0</v>
      </c>
      <c r="V146" s="45" t="e">
        <f t="shared" si="20"/>
        <v>#DIV/0!</v>
      </c>
    </row>
    <row r="147" spans="1:22" x14ac:dyDescent="0.2">
      <c r="A147" s="3">
        <v>707150</v>
      </c>
      <c r="B147" s="3" t="s">
        <v>396</v>
      </c>
      <c r="C147" s="1">
        <v>763105</v>
      </c>
      <c r="D147" s="1" t="s">
        <v>134</v>
      </c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6">
        <f t="shared" si="19"/>
        <v>0</v>
      </c>
      <c r="V147" s="45" t="e">
        <f t="shared" si="20"/>
        <v>#DIV/0!</v>
      </c>
    </row>
    <row r="148" spans="1:22" x14ac:dyDescent="0.2">
      <c r="A148" s="3">
        <v>707153</v>
      </c>
      <c r="B148" s="3" t="s">
        <v>399</v>
      </c>
      <c r="C148" s="1">
        <v>764100</v>
      </c>
      <c r="D148" s="1" t="s">
        <v>135</v>
      </c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6">
        <f t="shared" si="19"/>
        <v>0</v>
      </c>
      <c r="V148" s="45" t="e">
        <f t="shared" si="20"/>
        <v>#DIV/0!</v>
      </c>
    </row>
    <row r="149" spans="1:22" x14ac:dyDescent="0.2">
      <c r="A149" s="3">
        <v>707152</v>
      </c>
      <c r="B149" s="3" t="s">
        <v>398</v>
      </c>
      <c r="C149" s="1">
        <v>764104</v>
      </c>
      <c r="D149" s="1" t="s">
        <v>136</v>
      </c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6">
        <f t="shared" si="19"/>
        <v>0</v>
      </c>
      <c r="V149" s="45" t="e">
        <f t="shared" si="20"/>
        <v>#DIV/0!</v>
      </c>
    </row>
    <row r="150" spans="1:22" x14ac:dyDescent="0.2">
      <c r="A150" s="3">
        <v>707151</v>
      </c>
      <c r="B150" s="3" t="s">
        <v>397</v>
      </c>
      <c r="C150" s="1">
        <v>764110</v>
      </c>
      <c r="D150" s="1" t="s">
        <v>137</v>
      </c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6">
        <f t="shared" si="19"/>
        <v>0</v>
      </c>
      <c r="V150" s="45" t="e">
        <f t="shared" si="20"/>
        <v>#DIV/0!</v>
      </c>
    </row>
    <row r="151" spans="1:22" x14ac:dyDescent="0.2">
      <c r="A151" s="3">
        <v>707151</v>
      </c>
      <c r="B151" s="3" t="s">
        <v>397</v>
      </c>
      <c r="C151" s="1">
        <v>764120</v>
      </c>
      <c r="D151" s="1" t="s">
        <v>138</v>
      </c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6">
        <f t="shared" si="19"/>
        <v>0</v>
      </c>
      <c r="V151" s="45" t="e">
        <f t="shared" si="20"/>
        <v>#DIV/0!</v>
      </c>
    </row>
    <row r="152" spans="1:22" x14ac:dyDescent="0.2">
      <c r="C152" s="1">
        <v>764130</v>
      </c>
      <c r="D152" s="1" t="s">
        <v>139</v>
      </c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6">
        <f t="shared" si="19"/>
        <v>0</v>
      </c>
      <c r="V152" s="45" t="e">
        <f t="shared" si="20"/>
        <v>#DIV/0!</v>
      </c>
    </row>
    <row r="153" spans="1:22" x14ac:dyDescent="0.2">
      <c r="A153" s="3">
        <v>707151</v>
      </c>
      <c r="B153" s="3" t="s">
        <v>397</v>
      </c>
      <c r="C153" s="1">
        <v>764140</v>
      </c>
      <c r="D153" s="1" t="s">
        <v>140</v>
      </c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6">
        <f t="shared" si="19"/>
        <v>0</v>
      </c>
      <c r="V153" s="45" t="e">
        <f t="shared" si="20"/>
        <v>#DIV/0!</v>
      </c>
    </row>
    <row r="154" spans="1:22" x14ac:dyDescent="0.2">
      <c r="A154" s="3">
        <v>707300</v>
      </c>
      <c r="B154" s="3" t="s">
        <v>401</v>
      </c>
      <c r="C154" s="1">
        <v>771100</v>
      </c>
      <c r="D154" s="1" t="s">
        <v>141</v>
      </c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6">
        <f t="shared" si="19"/>
        <v>0</v>
      </c>
      <c r="V154" s="45" t="e">
        <f t="shared" si="20"/>
        <v>#DIV/0!</v>
      </c>
    </row>
    <row r="155" spans="1:22" x14ac:dyDescent="0.2">
      <c r="A155" s="3">
        <v>707300</v>
      </c>
      <c r="B155" s="3" t="s">
        <v>401</v>
      </c>
      <c r="C155" s="1">
        <v>771105</v>
      </c>
      <c r="D155" s="1" t="s">
        <v>142</v>
      </c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6">
        <f t="shared" si="19"/>
        <v>0</v>
      </c>
      <c r="V155" s="45" t="e">
        <f t="shared" si="20"/>
        <v>#DIV/0!</v>
      </c>
    </row>
    <row r="156" spans="1:22" x14ac:dyDescent="0.2">
      <c r="A156" s="3">
        <v>707300</v>
      </c>
      <c r="B156" s="3" t="s">
        <v>401</v>
      </c>
      <c r="C156" s="1">
        <v>771110</v>
      </c>
      <c r="D156" s="1" t="s">
        <v>143</v>
      </c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6">
        <f t="shared" si="19"/>
        <v>0</v>
      </c>
      <c r="V156" s="45" t="e">
        <f t="shared" si="20"/>
        <v>#DIV/0!</v>
      </c>
    </row>
    <row r="157" spans="1:22" x14ac:dyDescent="0.2">
      <c r="A157" s="3">
        <v>707200</v>
      </c>
      <c r="B157" s="3" t="s">
        <v>400</v>
      </c>
      <c r="C157" s="1">
        <v>771115</v>
      </c>
      <c r="D157" s="1" t="s">
        <v>144</v>
      </c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6">
        <f t="shared" si="19"/>
        <v>0</v>
      </c>
      <c r="V157" s="45" t="e">
        <f t="shared" si="20"/>
        <v>#DIV/0!</v>
      </c>
    </row>
    <row r="158" spans="1:22" x14ac:dyDescent="0.2">
      <c r="A158" s="3">
        <v>707306</v>
      </c>
      <c r="B158" s="3" t="s">
        <v>406</v>
      </c>
      <c r="C158" s="1">
        <v>772100</v>
      </c>
      <c r="D158" s="1" t="s">
        <v>145</v>
      </c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6">
        <f t="shared" si="19"/>
        <v>0</v>
      </c>
      <c r="V158" s="45" t="e">
        <f t="shared" si="20"/>
        <v>#DIV/0!</v>
      </c>
    </row>
    <row r="159" spans="1:22" x14ac:dyDescent="0.2">
      <c r="A159" s="3">
        <v>702201</v>
      </c>
      <c r="B159" s="3" t="s">
        <v>443</v>
      </c>
      <c r="C159" s="1">
        <v>772105</v>
      </c>
      <c r="D159" s="1" t="s">
        <v>146</v>
      </c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6">
        <f t="shared" si="19"/>
        <v>0</v>
      </c>
      <c r="V159" s="45" t="e">
        <f t="shared" si="20"/>
        <v>#DIV/0!</v>
      </c>
    </row>
    <row r="160" spans="1:22" x14ac:dyDescent="0.2">
      <c r="A160" s="3">
        <v>707502</v>
      </c>
      <c r="B160" s="3" t="s">
        <v>444</v>
      </c>
      <c r="C160" s="1">
        <v>772115</v>
      </c>
      <c r="D160" s="1" t="s">
        <v>147</v>
      </c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6">
        <f t="shared" si="19"/>
        <v>0</v>
      </c>
      <c r="V160" s="45" t="e">
        <f t="shared" si="20"/>
        <v>#DIV/0!</v>
      </c>
    </row>
    <row r="161" spans="1:22" x14ac:dyDescent="0.2">
      <c r="A161" s="3">
        <v>706501</v>
      </c>
      <c r="B161" s="3" t="s">
        <v>382</v>
      </c>
      <c r="C161" s="1">
        <v>772116</v>
      </c>
      <c r="D161" s="1" t="s">
        <v>148</v>
      </c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6">
        <f t="shared" si="19"/>
        <v>0</v>
      </c>
      <c r="V161" s="45" t="e">
        <f t="shared" si="20"/>
        <v>#DIV/0!</v>
      </c>
    </row>
    <row r="162" spans="1:22" x14ac:dyDescent="0.2">
      <c r="A162" s="3">
        <v>706502</v>
      </c>
      <c r="B162" s="3" t="s">
        <v>383</v>
      </c>
      <c r="C162" s="1">
        <v>772117</v>
      </c>
      <c r="D162" s="1" t="s">
        <v>149</v>
      </c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6">
        <f t="shared" si="19"/>
        <v>0</v>
      </c>
      <c r="V162" s="45" t="e">
        <f t="shared" si="20"/>
        <v>#DIV/0!</v>
      </c>
    </row>
    <row r="163" spans="1:22" x14ac:dyDescent="0.2">
      <c r="A163" s="3">
        <v>707301</v>
      </c>
      <c r="B163" s="3" t="s">
        <v>402</v>
      </c>
      <c r="C163" s="1">
        <v>772120</v>
      </c>
      <c r="D163" s="1" t="s">
        <v>150</v>
      </c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6">
        <f t="shared" si="19"/>
        <v>0</v>
      </c>
      <c r="V163" s="45" t="e">
        <f t="shared" si="20"/>
        <v>#DIV/0!</v>
      </c>
    </row>
    <row r="164" spans="1:22" x14ac:dyDescent="0.2">
      <c r="A164" s="3">
        <v>702200</v>
      </c>
      <c r="B164" s="3" t="s">
        <v>74</v>
      </c>
      <c r="C164" s="1">
        <v>772125</v>
      </c>
      <c r="D164" s="1" t="s">
        <v>151</v>
      </c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6">
        <f t="shared" si="19"/>
        <v>0</v>
      </c>
      <c r="V164" s="45" t="e">
        <f t="shared" si="20"/>
        <v>#DIV/0!</v>
      </c>
    </row>
    <row r="165" spans="1:22" x14ac:dyDescent="0.2">
      <c r="A165" s="3">
        <v>707304</v>
      </c>
      <c r="B165" s="3" t="s">
        <v>404</v>
      </c>
      <c r="C165" s="1">
        <v>772135</v>
      </c>
      <c r="D165" s="1" t="s">
        <v>152</v>
      </c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6">
        <f t="shared" si="19"/>
        <v>0</v>
      </c>
      <c r="V165" s="45" t="e">
        <f t="shared" si="20"/>
        <v>#DIV/0!</v>
      </c>
    </row>
    <row r="166" spans="1:22" x14ac:dyDescent="0.2">
      <c r="A166" s="3">
        <v>707309</v>
      </c>
      <c r="B166" s="3" t="s">
        <v>408</v>
      </c>
      <c r="C166" s="1">
        <v>772140</v>
      </c>
      <c r="D166" s="1" t="s">
        <v>153</v>
      </c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6">
        <f t="shared" si="19"/>
        <v>0</v>
      </c>
      <c r="V166" s="45" t="e">
        <f t="shared" si="20"/>
        <v>#DIV/0!</v>
      </c>
    </row>
    <row r="167" spans="1:22" x14ac:dyDescent="0.2">
      <c r="A167" s="3">
        <v>707307</v>
      </c>
      <c r="B167" s="3" t="s">
        <v>407</v>
      </c>
      <c r="C167" s="1">
        <v>772150</v>
      </c>
      <c r="D167" s="1" t="s">
        <v>154</v>
      </c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6">
        <f t="shared" si="19"/>
        <v>0</v>
      </c>
      <c r="V167" s="45" t="e">
        <f t="shared" si="20"/>
        <v>#DIV/0!</v>
      </c>
    </row>
    <row r="168" spans="1:22" x14ac:dyDescent="0.2">
      <c r="A168" s="3">
        <v>707350</v>
      </c>
      <c r="B168" s="3" t="s">
        <v>409</v>
      </c>
      <c r="C168" s="1">
        <v>773100</v>
      </c>
      <c r="D168" s="1" t="s">
        <v>155</v>
      </c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6">
        <f t="shared" si="19"/>
        <v>0</v>
      </c>
      <c r="V168" s="45" t="e">
        <f t="shared" si="20"/>
        <v>#DIV/0!</v>
      </c>
    </row>
    <row r="169" spans="1:22" x14ac:dyDescent="0.2">
      <c r="A169" s="3">
        <v>707350</v>
      </c>
      <c r="B169" s="3" t="s">
        <v>409</v>
      </c>
      <c r="C169" s="1">
        <v>773110</v>
      </c>
      <c r="D169" s="1" t="s">
        <v>156</v>
      </c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16">
        <f t="shared" si="19"/>
        <v>0</v>
      </c>
      <c r="V169" s="45" t="e">
        <f t="shared" si="20"/>
        <v>#DIV/0!</v>
      </c>
    </row>
    <row r="170" spans="1:22" x14ac:dyDescent="0.2">
      <c r="A170" s="3">
        <v>707403</v>
      </c>
      <c r="B170" s="3" t="s">
        <v>410</v>
      </c>
      <c r="C170" s="1">
        <v>773115</v>
      </c>
      <c r="D170" s="1" t="s">
        <v>157</v>
      </c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16">
        <f t="shared" si="19"/>
        <v>0</v>
      </c>
      <c r="V170" s="45" t="e">
        <f t="shared" si="20"/>
        <v>#DIV/0!</v>
      </c>
    </row>
    <row r="171" spans="1:22" x14ac:dyDescent="0.2">
      <c r="A171" s="3">
        <v>707400</v>
      </c>
      <c r="B171" s="3" t="s">
        <v>158</v>
      </c>
      <c r="C171" s="1">
        <v>773120</v>
      </c>
      <c r="D171" s="1" t="s">
        <v>158</v>
      </c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16">
        <f t="shared" si="19"/>
        <v>0</v>
      </c>
      <c r="V171" s="45" t="e">
        <f t="shared" si="20"/>
        <v>#DIV/0!</v>
      </c>
    </row>
    <row r="172" spans="1:22" x14ac:dyDescent="0.2">
      <c r="A172" s="3">
        <v>702105</v>
      </c>
      <c r="B172" s="3" t="s">
        <v>350</v>
      </c>
      <c r="C172" s="1">
        <v>773125</v>
      </c>
      <c r="D172" s="1" t="s">
        <v>159</v>
      </c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16">
        <f t="shared" si="19"/>
        <v>0</v>
      </c>
      <c r="V172" s="45" t="e">
        <f t="shared" si="20"/>
        <v>#DIV/0!</v>
      </c>
    </row>
    <row r="173" spans="1:22" x14ac:dyDescent="0.2">
      <c r="A173" s="3">
        <v>707505</v>
      </c>
      <c r="B173" s="3" t="s">
        <v>413</v>
      </c>
      <c r="C173" s="1">
        <v>773130</v>
      </c>
      <c r="D173" s="1" t="s">
        <v>160</v>
      </c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16">
        <f t="shared" si="19"/>
        <v>0</v>
      </c>
      <c r="V173" s="45" t="e">
        <f t="shared" si="20"/>
        <v>#DIV/0!</v>
      </c>
    </row>
    <row r="174" spans="1:22" x14ac:dyDescent="0.2">
      <c r="A174" s="3">
        <v>707505</v>
      </c>
      <c r="B174" s="3" t="s">
        <v>413</v>
      </c>
      <c r="C174" s="1">
        <v>773135</v>
      </c>
      <c r="D174" s="1" t="s">
        <v>161</v>
      </c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16">
        <f t="shared" si="19"/>
        <v>0</v>
      </c>
      <c r="V174" s="45" t="e">
        <f t="shared" si="20"/>
        <v>#DIV/0!</v>
      </c>
    </row>
    <row r="175" spans="1:22" x14ac:dyDescent="0.2">
      <c r="A175" s="3">
        <v>707452</v>
      </c>
      <c r="B175" s="3" t="s">
        <v>412</v>
      </c>
      <c r="C175" s="1">
        <v>773141</v>
      </c>
      <c r="D175" s="1" t="s">
        <v>162</v>
      </c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16">
        <f t="shared" si="19"/>
        <v>0</v>
      </c>
      <c r="V175" s="45" t="e">
        <f t="shared" si="20"/>
        <v>#DIV/0!</v>
      </c>
    </row>
    <row r="176" spans="1:22" x14ac:dyDescent="0.2">
      <c r="A176" s="3">
        <v>707450</v>
      </c>
      <c r="B176" s="3" t="s">
        <v>411</v>
      </c>
      <c r="C176" s="1">
        <v>773144</v>
      </c>
      <c r="D176" s="1" t="s">
        <v>163</v>
      </c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6">
        <f t="shared" si="19"/>
        <v>0</v>
      </c>
      <c r="V176" s="45" t="e">
        <f t="shared" si="20"/>
        <v>#DIV/0!</v>
      </c>
    </row>
    <row r="177" spans="1:22" x14ac:dyDescent="0.2">
      <c r="A177" s="3">
        <v>707590</v>
      </c>
      <c r="B177" s="3" t="s">
        <v>415</v>
      </c>
      <c r="C177" s="1">
        <v>774120</v>
      </c>
      <c r="D177" s="1" t="s">
        <v>164</v>
      </c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16">
        <f t="shared" si="19"/>
        <v>0</v>
      </c>
      <c r="V177" s="45" t="e">
        <f t="shared" si="20"/>
        <v>#DIV/0!</v>
      </c>
    </row>
    <row r="178" spans="1:22" x14ac:dyDescent="0.2">
      <c r="A178" s="3">
        <v>708025</v>
      </c>
      <c r="B178" s="3" t="s">
        <v>448</v>
      </c>
      <c r="C178" s="1">
        <v>781100</v>
      </c>
      <c r="D178" s="1" t="s">
        <v>165</v>
      </c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16">
        <f t="shared" si="19"/>
        <v>0</v>
      </c>
      <c r="V178" s="45" t="e">
        <f t="shared" si="20"/>
        <v>#DIV/0!</v>
      </c>
    </row>
    <row r="179" spans="1:22" x14ac:dyDescent="0.2">
      <c r="A179" s="3">
        <v>710000</v>
      </c>
      <c r="B179" s="3" t="s">
        <v>301</v>
      </c>
      <c r="C179" s="29">
        <v>783100</v>
      </c>
      <c r="D179" s="29" t="s">
        <v>301</v>
      </c>
      <c r="E179" s="32">
        <v>11255637.68</v>
      </c>
      <c r="F179" s="32">
        <v>11292998.4</v>
      </c>
      <c r="G179" s="32">
        <v>11844050.84</v>
      </c>
      <c r="H179" s="32">
        <v>12990591.939999999</v>
      </c>
      <c r="I179" s="32">
        <v>13108618.289999999</v>
      </c>
      <c r="J179" s="32">
        <v>13409887.75</v>
      </c>
      <c r="K179" s="32">
        <v>13365550.49</v>
      </c>
      <c r="L179" s="32">
        <v>13810692.039999999</v>
      </c>
      <c r="M179" s="32">
        <v>15371406.32</v>
      </c>
      <c r="N179" s="34">
        <v>15610872.310000001</v>
      </c>
      <c r="O179" s="34">
        <v>17721493.809999999</v>
      </c>
      <c r="P179" s="34">
        <v>18262832.91</v>
      </c>
      <c r="Q179" s="34">
        <v>17221042.350000001</v>
      </c>
      <c r="R179" s="34">
        <v>17426635.940000001</v>
      </c>
      <c r="S179" s="34">
        <f>16754466.44+(-0.01)</f>
        <v>16754466.43</v>
      </c>
      <c r="T179" s="34">
        <v>15874705.84</v>
      </c>
      <c r="U179" s="16">
        <f t="shared" si="19"/>
        <v>-879760.58999999985</v>
      </c>
      <c r="V179" s="45">
        <f t="shared" si="20"/>
        <v>-5.250901863545647E-2</v>
      </c>
    </row>
    <row r="180" spans="1:22" x14ac:dyDescent="0.2">
      <c r="A180" s="3">
        <v>708021</v>
      </c>
      <c r="B180" s="3" t="s">
        <v>417</v>
      </c>
      <c r="C180" s="1">
        <v>784202</v>
      </c>
      <c r="D180" s="1" t="s">
        <v>166</v>
      </c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16">
        <f t="shared" si="19"/>
        <v>0</v>
      </c>
      <c r="V180" s="45" t="e">
        <f t="shared" si="20"/>
        <v>#DIV/0!</v>
      </c>
    </row>
    <row r="181" spans="1:22" x14ac:dyDescent="0.2">
      <c r="A181" s="3">
        <v>708023</v>
      </c>
      <c r="B181" s="3" t="s">
        <v>418</v>
      </c>
      <c r="C181" s="1">
        <v>784203</v>
      </c>
      <c r="D181" s="1" t="s">
        <v>167</v>
      </c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16">
        <f t="shared" si="19"/>
        <v>0</v>
      </c>
      <c r="V181" s="45" t="e">
        <f t="shared" si="20"/>
        <v>#DIV/0!</v>
      </c>
    </row>
    <row r="182" spans="1:22" x14ac:dyDescent="0.2">
      <c r="A182" s="3">
        <v>708061</v>
      </c>
      <c r="B182" s="3" t="s">
        <v>422</v>
      </c>
      <c r="C182" s="1">
        <v>784302</v>
      </c>
      <c r="D182" s="1" t="s">
        <v>168</v>
      </c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16">
        <f t="shared" si="19"/>
        <v>0</v>
      </c>
      <c r="V182" s="45" t="e">
        <f t="shared" si="20"/>
        <v>#DIV/0!</v>
      </c>
    </row>
    <row r="183" spans="1:22" x14ac:dyDescent="0.2">
      <c r="A183" s="3">
        <v>708063</v>
      </c>
      <c r="B183" s="3" t="s">
        <v>423</v>
      </c>
      <c r="C183" s="1">
        <v>784304</v>
      </c>
      <c r="D183" s="1" t="s">
        <v>169</v>
      </c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16">
        <f t="shared" si="19"/>
        <v>0</v>
      </c>
      <c r="V183" s="45" t="e">
        <f t="shared" si="20"/>
        <v>#DIV/0!</v>
      </c>
    </row>
    <row r="184" spans="1:22" x14ac:dyDescent="0.2">
      <c r="A184" s="3">
        <v>708030</v>
      </c>
      <c r="B184" s="3" t="s">
        <v>419</v>
      </c>
      <c r="C184" s="1">
        <v>784307</v>
      </c>
      <c r="D184" s="1" t="s">
        <v>170</v>
      </c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16">
        <f t="shared" si="19"/>
        <v>0</v>
      </c>
      <c r="V184" s="45" t="e">
        <f t="shared" si="20"/>
        <v>#DIV/0!</v>
      </c>
    </row>
    <row r="185" spans="1:22" x14ac:dyDescent="0.2">
      <c r="A185" s="3">
        <v>708060</v>
      </c>
      <c r="B185" s="3" t="s">
        <v>421</v>
      </c>
      <c r="C185" s="1">
        <v>784308</v>
      </c>
      <c r="D185" s="1" t="s">
        <v>171</v>
      </c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16">
        <f t="shared" si="19"/>
        <v>0</v>
      </c>
      <c r="V185" s="45" t="e">
        <f t="shared" si="20"/>
        <v>#DIV/0!</v>
      </c>
    </row>
    <row r="186" spans="1:22" x14ac:dyDescent="0.2">
      <c r="A186" s="3">
        <v>708040</v>
      </c>
      <c r="B186" s="3" t="s">
        <v>420</v>
      </c>
      <c r="C186" s="1">
        <v>784401</v>
      </c>
      <c r="D186" s="1" t="s">
        <v>172</v>
      </c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16">
        <f t="shared" si="19"/>
        <v>0</v>
      </c>
      <c r="V186" s="45" t="e">
        <f t="shared" si="20"/>
        <v>#DIV/0!</v>
      </c>
    </row>
    <row r="187" spans="1:22" x14ac:dyDescent="0.2">
      <c r="A187" s="3">
        <v>708060</v>
      </c>
      <c r="B187" s="3" t="s">
        <v>421</v>
      </c>
      <c r="C187" s="1">
        <v>784501</v>
      </c>
      <c r="D187" s="1" t="s">
        <v>173</v>
      </c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6">
        <f t="shared" si="19"/>
        <v>0</v>
      </c>
      <c r="V187" s="45" t="e">
        <f t="shared" si="20"/>
        <v>#DIV/0!</v>
      </c>
    </row>
    <row r="188" spans="1:22" x14ac:dyDescent="0.2">
      <c r="A188" s="3">
        <v>708021</v>
      </c>
      <c r="B188" s="3" t="s">
        <v>417</v>
      </c>
      <c r="C188" s="1">
        <v>784604</v>
      </c>
      <c r="D188" s="1" t="s">
        <v>174</v>
      </c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16">
        <f t="shared" si="19"/>
        <v>0</v>
      </c>
      <c r="V188" s="45" t="e">
        <f t="shared" si="20"/>
        <v>#DIV/0!</v>
      </c>
    </row>
    <row r="189" spans="1:22" x14ac:dyDescent="0.2">
      <c r="A189" s="3">
        <v>713000</v>
      </c>
      <c r="B189" s="3" t="s">
        <v>453</v>
      </c>
      <c r="C189" s="30">
        <v>785000</v>
      </c>
      <c r="D189" s="30" t="s">
        <v>299</v>
      </c>
      <c r="E189" s="31">
        <v>735966.01</v>
      </c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16">
        <f t="shared" si="19"/>
        <v>0</v>
      </c>
      <c r="V189" s="45" t="e">
        <f t="shared" si="20"/>
        <v>#DIV/0!</v>
      </c>
    </row>
    <row r="190" spans="1:22" x14ac:dyDescent="0.2">
      <c r="C190" s="3" t="s">
        <v>234</v>
      </c>
      <c r="D190" s="3" t="s">
        <v>235</v>
      </c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16">
        <f t="shared" si="19"/>
        <v>0</v>
      </c>
      <c r="V190" s="45" t="e">
        <f t="shared" si="20"/>
        <v>#DIV/0!</v>
      </c>
    </row>
    <row r="191" spans="1:22" x14ac:dyDescent="0.2">
      <c r="D191" s="5" t="s">
        <v>233</v>
      </c>
      <c r="E191" s="11">
        <f>SUM(E81:E190)</f>
        <v>11991603.689999999</v>
      </c>
      <c r="F191" s="11">
        <f t="shared" ref="F191:U191" si="21">SUM(F81:F190)</f>
        <v>11292998.4</v>
      </c>
      <c r="G191" s="11">
        <f t="shared" si="21"/>
        <v>11844050.84</v>
      </c>
      <c r="H191" s="11">
        <f t="shared" si="21"/>
        <v>12990591.939999999</v>
      </c>
      <c r="I191" s="11">
        <f t="shared" si="21"/>
        <v>13108618.289999999</v>
      </c>
      <c r="J191" s="11">
        <f t="shared" si="21"/>
        <v>13409887.75</v>
      </c>
      <c r="K191" s="11">
        <f t="shared" si="21"/>
        <v>13365550.49</v>
      </c>
      <c r="L191" s="11">
        <f t="shared" si="21"/>
        <v>13810692.039999999</v>
      </c>
      <c r="M191" s="11">
        <f t="shared" si="21"/>
        <v>15371406.32</v>
      </c>
      <c r="N191" s="11">
        <f t="shared" si="21"/>
        <v>15610872.310000001</v>
      </c>
      <c r="O191" s="11">
        <f t="shared" si="21"/>
        <v>17721493.809999999</v>
      </c>
      <c r="P191" s="11">
        <f t="shared" si="21"/>
        <v>18262832.91</v>
      </c>
      <c r="Q191" s="11">
        <f t="shared" si="21"/>
        <v>17221042.350000001</v>
      </c>
      <c r="R191" s="11">
        <f t="shared" si="21"/>
        <v>17426635.940000001</v>
      </c>
      <c r="S191" s="11">
        <f t="shared" si="21"/>
        <v>16754466.43</v>
      </c>
      <c r="T191" s="11">
        <f t="shared" ref="T191" si="22">SUM(T81:T190)</f>
        <v>15874705.84</v>
      </c>
      <c r="U191" s="20">
        <f t="shared" si="21"/>
        <v>-879760.58999999985</v>
      </c>
      <c r="V191" s="45">
        <f t="shared" si="20"/>
        <v>-5.250901863545647E-2</v>
      </c>
    </row>
    <row r="192" spans="1:22" x14ac:dyDescent="0.2"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16"/>
      <c r="V192" s="45"/>
    </row>
    <row r="193" spans="3:22" x14ac:dyDescent="0.2">
      <c r="C193" s="3" t="s">
        <v>218</v>
      </c>
      <c r="E193" s="4"/>
      <c r="F193" s="4"/>
      <c r="G193" s="4"/>
      <c r="H193" s="4"/>
      <c r="I193" s="4">
        <v>0</v>
      </c>
      <c r="J193" s="4">
        <v>0</v>
      </c>
      <c r="K193" s="4">
        <v>0</v>
      </c>
      <c r="L193" s="4">
        <v>0</v>
      </c>
      <c r="M193" s="4">
        <v>0</v>
      </c>
      <c r="N193" s="4"/>
      <c r="O193" s="4"/>
      <c r="P193" s="4"/>
      <c r="Q193" s="4"/>
      <c r="R193" s="4"/>
      <c r="S193" s="4"/>
      <c r="T193" s="4"/>
      <c r="U193" s="16">
        <f t="shared" ref="U193" si="23">T193-S193</f>
        <v>0</v>
      </c>
      <c r="V193" s="45" t="e">
        <f t="shared" ref="V193" si="24">U193/S193</f>
        <v>#DIV/0!</v>
      </c>
    </row>
    <row r="194" spans="3:22" x14ac:dyDescent="0.2"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16"/>
      <c r="V194" s="45"/>
    </row>
    <row r="195" spans="3:22" x14ac:dyDescent="0.2">
      <c r="C195" s="3" t="s">
        <v>219</v>
      </c>
      <c r="E195" s="4"/>
      <c r="F195" s="4"/>
      <c r="G195" s="4"/>
      <c r="H195" s="4"/>
      <c r="I195" s="4">
        <v>-13108618.289999999</v>
      </c>
      <c r="J195" s="4">
        <v>-13409887.75</v>
      </c>
      <c r="K195" s="4">
        <v>-13365550.49</v>
      </c>
      <c r="L195" s="4">
        <v>-13810692.039999999</v>
      </c>
      <c r="M195" s="4">
        <v>-15371406.32</v>
      </c>
      <c r="N195" s="4">
        <f t="shared" ref="N195:S195" si="25">N12</f>
        <v>-15610872.310000001</v>
      </c>
      <c r="O195" s="4">
        <f t="shared" si="25"/>
        <v>-17721493.809999999</v>
      </c>
      <c r="P195" s="4">
        <f t="shared" si="25"/>
        <v>-18262832.91</v>
      </c>
      <c r="Q195" s="4">
        <f t="shared" si="25"/>
        <v>-17221042.350000001</v>
      </c>
      <c r="R195" s="4">
        <f t="shared" si="25"/>
        <v>-17426635.940000001</v>
      </c>
      <c r="S195" s="4">
        <f t="shared" si="25"/>
        <v>-16754466.43</v>
      </c>
      <c r="T195" s="4">
        <f t="shared" ref="T195" si="26">T12</f>
        <v>-15874705.84</v>
      </c>
      <c r="U195" s="16">
        <f t="shared" ref="U195" si="27">T195-S195</f>
        <v>879760.58999999985</v>
      </c>
      <c r="V195" s="45">
        <f t="shared" ref="V195:V197" si="28">U195/S195</f>
        <v>-5.250901863545647E-2</v>
      </c>
    </row>
    <row r="196" spans="3:22" x14ac:dyDescent="0.2"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16"/>
      <c r="V196" s="45"/>
    </row>
    <row r="197" spans="3:22" ht="13.5" thickBot="1" x14ac:dyDescent="0.25">
      <c r="D197" s="14" t="s">
        <v>2</v>
      </c>
      <c r="E197" s="10">
        <f>E80+E191+SUM(E192:E196)</f>
        <v>11991603.689999999</v>
      </c>
      <c r="F197" s="10">
        <f t="shared" ref="F197:U197" si="29">F80+F191+SUM(F192:F196)</f>
        <v>11292998.4</v>
      </c>
      <c r="G197" s="10">
        <f t="shared" si="29"/>
        <v>11844050.84</v>
      </c>
      <c r="H197" s="10">
        <f t="shared" si="29"/>
        <v>12990591.939999999</v>
      </c>
      <c r="I197" s="10">
        <f t="shared" si="29"/>
        <v>0</v>
      </c>
      <c r="J197" s="10">
        <f t="shared" si="29"/>
        <v>0</v>
      </c>
      <c r="K197" s="10">
        <f t="shared" si="29"/>
        <v>0</v>
      </c>
      <c r="L197" s="10">
        <f t="shared" si="29"/>
        <v>0</v>
      </c>
      <c r="M197" s="10">
        <f t="shared" si="29"/>
        <v>0</v>
      </c>
      <c r="N197" s="10">
        <f t="shared" si="29"/>
        <v>0</v>
      </c>
      <c r="O197" s="10">
        <f t="shared" si="29"/>
        <v>0</v>
      </c>
      <c r="P197" s="10">
        <f t="shared" si="29"/>
        <v>0</v>
      </c>
      <c r="Q197" s="10">
        <f t="shared" si="29"/>
        <v>0</v>
      </c>
      <c r="R197" s="10">
        <f t="shared" si="29"/>
        <v>0</v>
      </c>
      <c r="S197" s="10">
        <f t="shared" si="29"/>
        <v>0</v>
      </c>
      <c r="T197" s="10">
        <f t="shared" ref="T197" si="30">T80+T191+SUM(T192:T196)</f>
        <v>0</v>
      </c>
      <c r="U197" s="21">
        <f t="shared" si="29"/>
        <v>0</v>
      </c>
      <c r="V197" s="45" t="e">
        <f t="shared" si="28"/>
        <v>#DIV/0!</v>
      </c>
    </row>
    <row r="198" spans="3:22" ht="13.5" thickTop="1" x14ac:dyDescent="0.2"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</row>
    <row r="199" spans="3:22" x14ac:dyDescent="0.2">
      <c r="C199" s="3" t="s">
        <v>220</v>
      </c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</row>
    <row r="200" spans="3:22" x14ac:dyDescent="0.2">
      <c r="C200" s="3" t="s">
        <v>221</v>
      </c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</row>
    <row r="201" spans="3:22" x14ac:dyDescent="0.2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</row>
    <row r="202" spans="3:22" x14ac:dyDescent="0.2"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</row>
    <row r="203" spans="3:22" x14ac:dyDescent="0.2">
      <c r="C203" s="12" t="s">
        <v>482</v>
      </c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</sheetData>
  <phoneticPr fontId="10" type="noConversion"/>
  <pageMargins left="0" right="0" top="0" bottom="0.5" header="0" footer="0"/>
  <pageSetup paperSize="5" scale="89" fitToHeight="20" orientation="landscape" r:id="rId1"/>
  <headerFooter>
    <oddFooter>&amp;R&amp;8Page &amp;P of &amp;N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V217"/>
  <sheetViews>
    <sheetView zoomScaleNormal="100" workbookViewId="0">
      <pane xSplit="4" ySplit="7" topLeftCell="R188" activePane="bottomRight" state="frozen"/>
      <selection pane="topRight" activeCell="C1" sqref="C1"/>
      <selection pane="bottomLeft" activeCell="A8" sqref="A8"/>
      <selection pane="bottomRight" activeCell="V203" sqref="V203"/>
    </sheetView>
  </sheetViews>
  <sheetFormatPr defaultColWidth="9.140625" defaultRowHeight="12.75" x14ac:dyDescent="0.2"/>
  <cols>
    <col min="1" max="1" width="7.85546875" style="3" bestFit="1" customWidth="1"/>
    <col min="2" max="2" width="36.85546875" style="3" bestFit="1" customWidth="1"/>
    <col min="3" max="3" width="8.85546875" style="3" customWidth="1"/>
    <col min="4" max="4" width="35.7109375" style="3" bestFit="1" customWidth="1"/>
    <col min="5" max="11" width="14" style="3" bestFit="1" customWidth="1"/>
    <col min="12" max="12" width="14" style="3" customWidth="1"/>
    <col min="13" max="13" width="14" style="3" bestFit="1" customWidth="1"/>
    <col min="14" max="17" width="14" style="3" customWidth="1"/>
    <col min="18" max="18" width="14.5703125" style="3" bestFit="1" customWidth="1"/>
    <col min="19" max="20" width="14.5703125" style="3" customWidth="1"/>
    <col min="21" max="21" width="14.7109375" style="3" customWidth="1"/>
    <col min="22" max="22" width="12.710937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249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/>
      <c r="F9" s="4"/>
      <c r="G9" s="4"/>
      <c r="H9" s="4"/>
      <c r="I9" s="4"/>
      <c r="J9" s="4"/>
      <c r="K9" s="4">
        <v>0</v>
      </c>
      <c r="L9" s="4">
        <v>0</v>
      </c>
      <c r="M9" s="4">
        <v>0</v>
      </c>
      <c r="N9" s="4">
        <v>0</v>
      </c>
      <c r="O9" s="4"/>
      <c r="P9" s="4"/>
      <c r="Q9" s="4"/>
      <c r="R9" s="4"/>
      <c r="S9" s="4"/>
      <c r="T9" s="4"/>
      <c r="U9" s="16">
        <f t="shared" ref="U9" si="0">T9-S9</f>
        <v>0</v>
      </c>
      <c r="V9" s="45" t="e">
        <f>U9/S9</f>
        <v>#DIV/0!</v>
      </c>
    </row>
    <row r="10" spans="1:22" x14ac:dyDescent="0.2">
      <c r="C10" s="3" t="s">
        <v>1</v>
      </c>
      <c r="E10" s="4">
        <v>17843564.940000001</v>
      </c>
      <c r="F10" s="4">
        <v>21128915.559999999</v>
      </c>
      <c r="G10" s="4">
        <v>22642334.710000001</v>
      </c>
      <c r="H10" s="4">
        <v>23100585.190000001</v>
      </c>
      <c r="I10" s="4">
        <v>25004892.710000001</v>
      </c>
      <c r="J10" s="4">
        <v>23802106.41</v>
      </c>
      <c r="K10" s="4">
        <v>20883682.18</v>
      </c>
      <c r="L10" s="4">
        <v>21356359.559999999</v>
      </c>
      <c r="M10" s="4">
        <v>21777987.050000001</v>
      </c>
      <c r="N10" s="4">
        <v>24229943.149999999</v>
      </c>
      <c r="O10" s="4">
        <v>24675054.16</v>
      </c>
      <c r="P10" s="4">
        <v>23705778.600000001</v>
      </c>
      <c r="Q10" s="4">
        <v>27360490.239999998</v>
      </c>
      <c r="R10" s="4">
        <v>27222072.719999999</v>
      </c>
      <c r="S10" s="4">
        <v>30628313.550000001</v>
      </c>
      <c r="T10" s="4">
        <v>31476155.949999999</v>
      </c>
      <c r="U10" s="16">
        <f t="shared" ref="U10:U12" si="1">T10-S10</f>
        <v>847842.39999999851</v>
      </c>
      <c r="V10" s="45">
        <f t="shared" ref="V10:V13" si="2">U10/S10</f>
        <v>2.7681654708670646E-2</v>
      </c>
    </row>
    <row r="11" spans="1:22" x14ac:dyDescent="0.2">
      <c r="C11" s="3" t="s">
        <v>218</v>
      </c>
      <c r="E11" s="4"/>
      <c r="F11" s="4"/>
      <c r="G11" s="4"/>
      <c r="H11" s="4"/>
      <c r="I11" s="4"/>
      <c r="J11" s="4"/>
      <c r="K11" s="4">
        <v>0</v>
      </c>
      <c r="L11" s="4">
        <v>0</v>
      </c>
      <c r="M11" s="4">
        <v>0</v>
      </c>
      <c r="N11" s="4">
        <v>0</v>
      </c>
      <c r="O11" s="4"/>
      <c r="P11" s="4"/>
      <c r="Q11" s="4"/>
      <c r="R11" s="4"/>
      <c r="S11" s="4"/>
      <c r="T11" s="4"/>
      <c r="U11" s="16">
        <f t="shared" si="1"/>
        <v>0</v>
      </c>
      <c r="V11" s="45" t="e">
        <f t="shared" si="2"/>
        <v>#DIV/0!</v>
      </c>
    </row>
    <row r="12" spans="1:22" x14ac:dyDescent="0.2">
      <c r="C12" s="3" t="s">
        <v>219</v>
      </c>
      <c r="E12" s="4"/>
      <c r="F12" s="4"/>
      <c r="G12" s="4"/>
      <c r="H12" s="4"/>
      <c r="I12" s="4"/>
      <c r="J12" s="4"/>
      <c r="K12" s="4">
        <v>0</v>
      </c>
      <c r="L12" s="4">
        <v>0</v>
      </c>
      <c r="M12" s="4">
        <v>0</v>
      </c>
      <c r="N12" s="4">
        <v>0</v>
      </c>
      <c r="O12" s="4"/>
      <c r="P12" s="4"/>
      <c r="Q12" s="4"/>
      <c r="R12" s="4"/>
      <c r="S12" s="4"/>
      <c r="T12" s="4"/>
      <c r="U12" s="16">
        <f t="shared" si="1"/>
        <v>0</v>
      </c>
      <c r="V12" s="45" t="e">
        <f t="shared" si="2"/>
        <v>#DIV/0!</v>
      </c>
    </row>
    <row r="13" spans="1:22" ht="13.5" thickBot="1" x14ac:dyDescent="0.25">
      <c r="C13" s="3" t="s">
        <v>2</v>
      </c>
      <c r="E13" s="10">
        <f t="shared" ref="E13:U13" si="3">SUM(E9:E12)</f>
        <v>17843564.940000001</v>
      </c>
      <c r="F13" s="10">
        <f t="shared" si="3"/>
        <v>21128915.559999999</v>
      </c>
      <c r="G13" s="10">
        <f t="shared" si="3"/>
        <v>22642334.710000001</v>
      </c>
      <c r="H13" s="10">
        <f t="shared" si="3"/>
        <v>23100585.190000001</v>
      </c>
      <c r="I13" s="10">
        <f t="shared" si="3"/>
        <v>25004892.710000001</v>
      </c>
      <c r="J13" s="10">
        <f t="shared" si="3"/>
        <v>23802106.41</v>
      </c>
      <c r="K13" s="10">
        <f t="shared" si="3"/>
        <v>20883682.18</v>
      </c>
      <c r="L13" s="10">
        <f t="shared" si="3"/>
        <v>21356359.559999999</v>
      </c>
      <c r="M13" s="10">
        <f t="shared" si="3"/>
        <v>21777987.050000001</v>
      </c>
      <c r="N13" s="10">
        <f t="shared" si="3"/>
        <v>24229943.149999999</v>
      </c>
      <c r="O13" s="10">
        <f t="shared" si="3"/>
        <v>24675054.16</v>
      </c>
      <c r="P13" s="10">
        <f t="shared" si="3"/>
        <v>23705778.600000001</v>
      </c>
      <c r="Q13" s="10">
        <f t="shared" si="3"/>
        <v>27360490.239999998</v>
      </c>
      <c r="R13" s="10">
        <f t="shared" si="3"/>
        <v>27222072.719999999</v>
      </c>
      <c r="S13" s="10">
        <f t="shared" si="3"/>
        <v>30628313.550000001</v>
      </c>
      <c r="T13" s="10">
        <f t="shared" si="3"/>
        <v>31476155.949999999</v>
      </c>
      <c r="U13" s="21">
        <f t="shared" si="3"/>
        <v>847842.39999999851</v>
      </c>
      <c r="V13" s="45">
        <f t="shared" si="2"/>
        <v>2.7681654708670646E-2</v>
      </c>
    </row>
    <row r="14" spans="1:22" ht="13.5" thickTop="1" x14ac:dyDescent="0.2">
      <c r="U14" s="16"/>
    </row>
    <row r="15" spans="1:22" x14ac:dyDescent="0.2">
      <c r="C15" s="8" t="s">
        <v>248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6">
        <f t="shared" ref="U18" si="4">T18-S18</f>
        <v>0</v>
      </c>
      <c r="V18" s="45" t="e">
        <f t="shared" ref="V18" si="5">U18/S18</f>
        <v>#DIV/0!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/>
      <c r="F22" s="22"/>
      <c r="G22" s="22"/>
      <c r="H22" s="22"/>
      <c r="I22" s="22"/>
      <c r="J22" s="22"/>
      <c r="K22" s="22"/>
      <c r="L22" s="22"/>
      <c r="M22" s="22"/>
      <c r="N22" s="22"/>
      <c r="O22" s="22"/>
      <c r="P22" s="22"/>
      <c r="Q22" s="22"/>
      <c r="R22" s="22"/>
      <c r="S22" s="22"/>
      <c r="T22" s="22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6"/>
      <c r="V25" s="45"/>
    </row>
    <row r="26" spans="1:22" x14ac:dyDescent="0.2">
      <c r="C26" s="1"/>
      <c r="D26" s="5" t="s">
        <v>229</v>
      </c>
      <c r="E26" s="6">
        <f>SUM(E18:E24)</f>
        <v>0</v>
      </c>
      <c r="F26" s="6">
        <f>SUM(F18:F24)</f>
        <v>0</v>
      </c>
      <c r="G26" s="6">
        <f t="shared" ref="G26:T26" si="6">SUM(G18:G24)</f>
        <v>0</v>
      </c>
      <c r="H26" s="6">
        <f t="shared" si="6"/>
        <v>0</v>
      </c>
      <c r="I26" s="6">
        <f t="shared" si="6"/>
        <v>0</v>
      </c>
      <c r="J26" s="6">
        <f t="shared" si="6"/>
        <v>0</v>
      </c>
      <c r="K26" s="6">
        <f t="shared" si="6"/>
        <v>0</v>
      </c>
      <c r="L26" s="6">
        <f t="shared" si="6"/>
        <v>0</v>
      </c>
      <c r="M26" s="6">
        <f t="shared" si="6"/>
        <v>0</v>
      </c>
      <c r="N26" s="6">
        <f t="shared" si="6"/>
        <v>0</v>
      </c>
      <c r="O26" s="6">
        <f t="shared" si="6"/>
        <v>0</v>
      </c>
      <c r="P26" s="6">
        <f t="shared" si="6"/>
        <v>0</v>
      </c>
      <c r="Q26" s="6">
        <f t="shared" si="6"/>
        <v>0</v>
      </c>
      <c r="R26" s="6">
        <f t="shared" si="6"/>
        <v>0</v>
      </c>
      <c r="S26" s="6">
        <f t="shared" si="6"/>
        <v>0</v>
      </c>
      <c r="T26" s="6">
        <f t="shared" si="6"/>
        <v>0</v>
      </c>
      <c r="U26" s="17">
        <f t="shared" ref="U26" si="7">SUM(U18:U25)</f>
        <v>0</v>
      </c>
      <c r="V26" s="45" t="e">
        <f t="shared" ref="V26:V27" si="8">U26/S26</f>
        <v>#DIV/0!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6">
        <f t="shared" ref="U27" si="9">T27-S27</f>
        <v>0</v>
      </c>
      <c r="V27" s="45" t="e">
        <f t="shared" si="8"/>
        <v>#DIV/0!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E28" s="22"/>
      <c r="F28" s="22"/>
      <c r="G28" s="22"/>
      <c r="H28" s="22"/>
      <c r="I28" s="22"/>
      <c r="J28" s="22"/>
      <c r="K28" s="22"/>
      <c r="L28" s="22"/>
      <c r="M28" s="22"/>
      <c r="N28" s="22"/>
      <c r="O28" s="22"/>
      <c r="P28" s="22"/>
      <c r="Q28" s="22"/>
      <c r="R28" s="22"/>
      <c r="S28" s="22"/>
      <c r="T28" s="22"/>
      <c r="U28" s="16">
        <f t="shared" ref="U28:U63" si="10">T28-S28</f>
        <v>0</v>
      </c>
      <c r="V28" s="45" t="e">
        <f t="shared" ref="V28:V64" si="11">U28/S28</f>
        <v>#DIV/0!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E29" s="22"/>
      <c r="F29" s="22"/>
      <c r="G29" s="22"/>
      <c r="H29" s="22"/>
      <c r="I29" s="22"/>
      <c r="J29" s="22"/>
      <c r="K29" s="22"/>
      <c r="L29" s="22"/>
      <c r="M29" s="22"/>
      <c r="N29" s="22"/>
      <c r="O29" s="22"/>
      <c r="P29" s="22"/>
      <c r="Q29" s="22"/>
      <c r="R29" s="22"/>
      <c r="S29" s="22"/>
      <c r="T29" s="22"/>
      <c r="U29" s="16">
        <f t="shared" si="10"/>
        <v>0</v>
      </c>
      <c r="V29" s="45" t="e">
        <f t="shared" si="11"/>
        <v>#DIV/0!</v>
      </c>
    </row>
    <row r="30" spans="1:22" x14ac:dyDescent="0.2">
      <c r="A30" s="3">
        <v>601100</v>
      </c>
      <c r="B30" s="3" t="s">
        <v>318</v>
      </c>
      <c r="C30" s="1">
        <v>612205</v>
      </c>
      <c r="D30" s="1" t="s">
        <v>21</v>
      </c>
      <c r="U30" s="16">
        <f t="shared" si="10"/>
        <v>0</v>
      </c>
      <c r="V30" s="45" t="e">
        <f t="shared" si="11"/>
        <v>#DIV/0!</v>
      </c>
    </row>
    <row r="31" spans="1:22" x14ac:dyDescent="0.2">
      <c r="A31" s="3">
        <v>601510</v>
      </c>
      <c r="B31" s="3" t="s">
        <v>22</v>
      </c>
      <c r="C31" s="1">
        <v>612220</v>
      </c>
      <c r="D31" s="1" t="s">
        <v>22</v>
      </c>
      <c r="U31" s="16">
        <f t="shared" si="10"/>
        <v>0</v>
      </c>
      <c r="V31" s="45" t="e">
        <f t="shared" si="11"/>
        <v>#DIV/0!</v>
      </c>
    </row>
    <row r="32" spans="1:22" x14ac:dyDescent="0.2">
      <c r="A32" s="3">
        <v>601306</v>
      </c>
      <c r="B32" s="3" t="s">
        <v>324</v>
      </c>
      <c r="C32" s="1">
        <v>612230</v>
      </c>
      <c r="D32" s="1" t="s">
        <v>23</v>
      </c>
      <c r="E32" s="22"/>
      <c r="F32" s="22"/>
      <c r="G32" s="22"/>
      <c r="H32" s="22"/>
      <c r="I32" s="22"/>
      <c r="J32" s="22"/>
      <c r="K32" s="22"/>
      <c r="L32" s="22"/>
      <c r="M32" s="22"/>
      <c r="N32" s="22"/>
      <c r="O32" s="22"/>
      <c r="P32" s="22"/>
      <c r="Q32" s="22"/>
      <c r="R32" s="22"/>
      <c r="S32" s="22"/>
      <c r="T32" s="22"/>
      <c r="U32" s="16">
        <f t="shared" si="10"/>
        <v>0</v>
      </c>
      <c r="V32" s="45" t="e">
        <f t="shared" si="11"/>
        <v>#DIV/0!</v>
      </c>
    </row>
    <row r="33" spans="1:22" x14ac:dyDescent="0.2">
      <c r="A33" s="3">
        <v>601303</v>
      </c>
      <c r="B33" s="3" t="s">
        <v>321</v>
      </c>
      <c r="C33" s="1">
        <v>612235</v>
      </c>
      <c r="D33" s="1" t="s">
        <v>24</v>
      </c>
      <c r="U33" s="16">
        <f t="shared" si="10"/>
        <v>0</v>
      </c>
      <c r="V33" s="45" t="e">
        <f t="shared" si="11"/>
        <v>#DIV/0!</v>
      </c>
    </row>
    <row r="34" spans="1:22" x14ac:dyDescent="0.2">
      <c r="A34" s="3">
        <v>601304</v>
      </c>
      <c r="B34" s="3" t="s">
        <v>322</v>
      </c>
      <c r="C34" s="1">
        <v>612300</v>
      </c>
      <c r="D34" s="1" t="s">
        <v>25</v>
      </c>
      <c r="U34" s="16">
        <f t="shared" si="10"/>
        <v>0</v>
      </c>
      <c r="V34" s="45" t="e">
        <f t="shared" si="11"/>
        <v>#DIV/0!</v>
      </c>
    </row>
    <row r="35" spans="1:22" x14ac:dyDescent="0.2">
      <c r="A35" s="3">
        <v>601305</v>
      </c>
      <c r="B35" s="3" t="s">
        <v>323</v>
      </c>
      <c r="C35" s="1">
        <v>612305</v>
      </c>
      <c r="D35" s="1" t="s">
        <v>26</v>
      </c>
      <c r="U35" s="16">
        <f t="shared" si="10"/>
        <v>0</v>
      </c>
      <c r="V35" s="45" t="e">
        <f t="shared" si="11"/>
        <v>#DIV/0!</v>
      </c>
    </row>
    <row r="36" spans="1:22" x14ac:dyDescent="0.2">
      <c r="A36" s="3">
        <v>601400</v>
      </c>
      <c r="B36" s="3" t="s">
        <v>325</v>
      </c>
      <c r="C36" s="1">
        <v>612410</v>
      </c>
      <c r="D36" s="1" t="s">
        <v>27</v>
      </c>
      <c r="E36" s="22"/>
      <c r="F36" s="22"/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22"/>
      <c r="R36" s="22"/>
      <c r="S36" s="22"/>
      <c r="T36" s="22"/>
      <c r="U36" s="16">
        <f t="shared" si="10"/>
        <v>0</v>
      </c>
      <c r="V36" s="45" t="e">
        <f t="shared" si="11"/>
        <v>#DIV/0!</v>
      </c>
    </row>
    <row r="37" spans="1:22" x14ac:dyDescent="0.2">
      <c r="A37" s="3">
        <v>601401</v>
      </c>
      <c r="B37" s="3" t="s">
        <v>431</v>
      </c>
      <c r="C37" s="1">
        <v>612420</v>
      </c>
      <c r="D37" s="1" t="s">
        <v>28</v>
      </c>
      <c r="U37" s="16">
        <f t="shared" si="10"/>
        <v>0</v>
      </c>
      <c r="V37" s="45" t="e">
        <f t="shared" si="11"/>
        <v>#DIV/0!</v>
      </c>
    </row>
    <row r="38" spans="1:22" x14ac:dyDescent="0.2">
      <c r="A38" s="3">
        <v>601404</v>
      </c>
      <c r="B38" s="3" t="s">
        <v>327</v>
      </c>
      <c r="C38" s="1">
        <v>612510</v>
      </c>
      <c r="D38" s="1" t="s">
        <v>29</v>
      </c>
      <c r="E38" s="22"/>
      <c r="F38" s="22"/>
      <c r="G38" s="22"/>
      <c r="H38" s="22"/>
      <c r="I38" s="22"/>
      <c r="J38" s="22"/>
      <c r="K38" s="22"/>
      <c r="L38" s="22"/>
      <c r="M38" s="22"/>
      <c r="N38" s="22"/>
      <c r="O38" s="22"/>
      <c r="P38" s="22"/>
      <c r="Q38" s="22"/>
      <c r="R38" s="22"/>
      <c r="S38" s="22"/>
      <c r="T38" s="22"/>
      <c r="U38" s="16">
        <f t="shared" si="10"/>
        <v>0</v>
      </c>
      <c r="V38" s="45" t="e">
        <f t="shared" si="11"/>
        <v>#DIV/0!</v>
      </c>
    </row>
    <row r="39" spans="1:22" x14ac:dyDescent="0.2">
      <c r="A39" s="3">
        <v>601405</v>
      </c>
      <c r="B39" s="3" t="s">
        <v>328</v>
      </c>
      <c r="C39" s="1">
        <v>612520</v>
      </c>
      <c r="D39" s="1" t="s">
        <v>30</v>
      </c>
      <c r="E39" s="22"/>
      <c r="F39" s="22"/>
      <c r="G39" s="22"/>
      <c r="H39" s="22"/>
      <c r="I39" s="22"/>
      <c r="J39" s="22"/>
      <c r="K39" s="22"/>
      <c r="L39" s="22"/>
      <c r="M39" s="22"/>
      <c r="N39" s="22"/>
      <c r="O39" s="22"/>
      <c r="P39" s="22"/>
      <c r="Q39" s="22"/>
      <c r="R39" s="22"/>
      <c r="S39" s="22"/>
      <c r="T39" s="22"/>
      <c r="U39" s="16">
        <f t="shared" si="10"/>
        <v>0</v>
      </c>
      <c r="V39" s="45" t="e">
        <f t="shared" si="11"/>
        <v>#DIV/0!</v>
      </c>
    </row>
    <row r="40" spans="1:22" x14ac:dyDescent="0.2">
      <c r="A40" s="3">
        <v>601402</v>
      </c>
      <c r="B40" s="3" t="s">
        <v>326</v>
      </c>
      <c r="C40" s="1">
        <v>612600</v>
      </c>
      <c r="D40" s="1" t="s">
        <v>31</v>
      </c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6">
        <f t="shared" si="10"/>
        <v>0</v>
      </c>
      <c r="V40" s="45" t="e">
        <f t="shared" si="11"/>
        <v>#DIV/0!</v>
      </c>
    </row>
    <row r="41" spans="1:22" x14ac:dyDescent="0.2">
      <c r="A41" s="3">
        <v>601501</v>
      </c>
      <c r="B41" s="3" t="s">
        <v>32</v>
      </c>
      <c r="C41" s="1">
        <v>613100</v>
      </c>
      <c r="D41" s="1" t="s">
        <v>32</v>
      </c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6">
        <f t="shared" si="10"/>
        <v>0</v>
      </c>
      <c r="V41" s="45" t="e">
        <f t="shared" si="11"/>
        <v>#DIV/0!</v>
      </c>
    </row>
    <row r="42" spans="1:22" x14ac:dyDescent="0.2">
      <c r="A42" s="3">
        <v>601503</v>
      </c>
      <c r="B42" s="3" t="s">
        <v>33</v>
      </c>
      <c r="C42" s="1">
        <v>613210</v>
      </c>
      <c r="D42" s="1" t="s">
        <v>33</v>
      </c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6">
        <f t="shared" si="10"/>
        <v>0</v>
      </c>
      <c r="V42" s="45" t="e">
        <f t="shared" si="11"/>
        <v>#DIV/0!</v>
      </c>
    </row>
    <row r="43" spans="1:22" x14ac:dyDescent="0.2">
      <c r="A43" s="3">
        <v>601502</v>
      </c>
      <c r="B43" s="3" t="s">
        <v>331</v>
      </c>
      <c r="C43" s="1">
        <v>613220</v>
      </c>
      <c r="D43" s="1" t="s">
        <v>34</v>
      </c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6">
        <f t="shared" si="10"/>
        <v>0</v>
      </c>
      <c r="V43" s="45" t="e">
        <f t="shared" si="11"/>
        <v>#DIV/0!</v>
      </c>
    </row>
    <row r="44" spans="1:22" x14ac:dyDescent="0.2">
      <c r="A44" s="3">
        <v>601509</v>
      </c>
      <c r="B44" s="3" t="s">
        <v>35</v>
      </c>
      <c r="C44" s="1">
        <v>613235</v>
      </c>
      <c r="D44" s="1" t="s">
        <v>35</v>
      </c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6">
        <f t="shared" si="10"/>
        <v>0</v>
      </c>
      <c r="V44" s="45" t="e">
        <f t="shared" si="11"/>
        <v>#DIV/0!</v>
      </c>
    </row>
    <row r="45" spans="1:22" x14ac:dyDescent="0.2">
      <c r="A45" s="3">
        <v>601513</v>
      </c>
      <c r="B45" s="3" t="s">
        <v>432</v>
      </c>
      <c r="C45" s="1">
        <v>613400</v>
      </c>
      <c r="D45" s="1" t="s">
        <v>36</v>
      </c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6">
        <f t="shared" si="10"/>
        <v>0</v>
      </c>
      <c r="V45" s="45" t="e">
        <f t="shared" si="11"/>
        <v>#DIV/0!</v>
      </c>
    </row>
    <row r="46" spans="1:22" x14ac:dyDescent="0.2">
      <c r="A46" s="3">
        <v>601508</v>
      </c>
      <c r="B46" s="3" t="s">
        <v>307</v>
      </c>
      <c r="C46" s="1">
        <v>613410</v>
      </c>
      <c r="D46" s="1" t="s">
        <v>37</v>
      </c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6">
        <f t="shared" si="10"/>
        <v>0</v>
      </c>
      <c r="V46" s="45" t="e">
        <f t="shared" si="11"/>
        <v>#DIV/0!</v>
      </c>
    </row>
    <row r="47" spans="1:22" x14ac:dyDescent="0.2">
      <c r="A47" s="3">
        <v>601500</v>
      </c>
      <c r="B47" s="3" t="s">
        <v>330</v>
      </c>
      <c r="C47" s="1">
        <v>621100</v>
      </c>
      <c r="D47" s="1" t="s">
        <v>38</v>
      </c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6">
        <f t="shared" si="10"/>
        <v>0</v>
      </c>
      <c r="V47" s="45" t="e">
        <f t="shared" si="11"/>
        <v>#DIV/0!</v>
      </c>
    </row>
    <row r="48" spans="1:22" x14ac:dyDescent="0.2">
      <c r="A48" s="3">
        <v>601500</v>
      </c>
      <c r="B48" s="3" t="s">
        <v>330</v>
      </c>
      <c r="C48" s="1">
        <v>621110</v>
      </c>
      <c r="D48" s="1" t="s">
        <v>39</v>
      </c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6">
        <f t="shared" si="10"/>
        <v>0</v>
      </c>
      <c r="V48" s="45" t="e">
        <f t="shared" si="11"/>
        <v>#DIV/0!</v>
      </c>
    </row>
    <row r="49" spans="1:22" x14ac:dyDescent="0.2">
      <c r="A49" s="3">
        <v>601500</v>
      </c>
      <c r="B49" s="3" t="s">
        <v>330</v>
      </c>
      <c r="C49" s="1">
        <v>621120</v>
      </c>
      <c r="D49" s="1" t="s">
        <v>40</v>
      </c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6">
        <f t="shared" si="10"/>
        <v>0</v>
      </c>
      <c r="V49" s="45" t="e">
        <f t="shared" si="11"/>
        <v>#DIV/0!</v>
      </c>
    </row>
    <row r="50" spans="1:22" x14ac:dyDescent="0.2">
      <c r="A50" s="3">
        <v>601500</v>
      </c>
      <c r="B50" s="3" t="s">
        <v>330</v>
      </c>
      <c r="C50" s="1">
        <v>621130</v>
      </c>
      <c r="D50" s="1" t="s">
        <v>41</v>
      </c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6">
        <f t="shared" si="10"/>
        <v>0</v>
      </c>
      <c r="V50" s="45" t="e">
        <f t="shared" si="11"/>
        <v>#DIV/0!</v>
      </c>
    </row>
    <row r="51" spans="1:22" x14ac:dyDescent="0.2">
      <c r="A51" s="3">
        <v>601500</v>
      </c>
      <c r="B51" s="3" t="s">
        <v>330</v>
      </c>
      <c r="C51" s="1">
        <v>621140</v>
      </c>
      <c r="D51" s="1" t="s">
        <v>42</v>
      </c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6">
        <f t="shared" si="10"/>
        <v>0</v>
      </c>
      <c r="V51" s="45" t="e">
        <f t="shared" si="11"/>
        <v>#DIV/0!</v>
      </c>
    </row>
    <row r="52" spans="1:22" x14ac:dyDescent="0.2">
      <c r="A52" s="3">
        <v>601500</v>
      </c>
      <c r="B52" s="3" t="s">
        <v>330</v>
      </c>
      <c r="C52" s="1">
        <v>621150</v>
      </c>
      <c r="D52" s="1" t="s">
        <v>43</v>
      </c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6">
        <f t="shared" si="10"/>
        <v>0</v>
      </c>
      <c r="V52" s="45" t="e">
        <f t="shared" si="11"/>
        <v>#DIV/0!</v>
      </c>
    </row>
    <row r="53" spans="1:22" x14ac:dyDescent="0.2">
      <c r="A53" s="3">
        <v>601505</v>
      </c>
      <c r="B53" s="3" t="s">
        <v>333</v>
      </c>
      <c r="C53" s="1">
        <v>622100</v>
      </c>
      <c r="D53" s="1" t="s">
        <v>44</v>
      </c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6">
        <f t="shared" si="10"/>
        <v>0</v>
      </c>
      <c r="V53" s="45" t="e">
        <f t="shared" si="11"/>
        <v>#DIV/0!</v>
      </c>
    </row>
    <row r="54" spans="1:22" x14ac:dyDescent="0.2">
      <c r="A54" s="3">
        <v>601505</v>
      </c>
      <c r="B54" s="3" t="s">
        <v>333</v>
      </c>
      <c r="C54" s="1">
        <v>622140</v>
      </c>
      <c r="D54" s="1" t="s">
        <v>45</v>
      </c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6">
        <f t="shared" si="10"/>
        <v>0</v>
      </c>
      <c r="V54" s="45" t="e">
        <f t="shared" si="11"/>
        <v>#DIV/0!</v>
      </c>
    </row>
    <row r="55" spans="1:22" x14ac:dyDescent="0.2">
      <c r="A55" s="3">
        <v>601506</v>
      </c>
      <c r="B55" s="3" t="s">
        <v>334</v>
      </c>
      <c r="C55" s="1">
        <v>623100</v>
      </c>
      <c r="D55" s="1" t="s">
        <v>46</v>
      </c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16">
        <f t="shared" si="10"/>
        <v>0</v>
      </c>
      <c r="V55" s="45" t="e">
        <f t="shared" si="11"/>
        <v>#DIV/0!</v>
      </c>
    </row>
    <row r="56" spans="1:22" x14ac:dyDescent="0.2">
      <c r="A56" s="3">
        <v>601506</v>
      </c>
      <c r="B56" s="3" t="s">
        <v>334</v>
      </c>
      <c r="C56" s="1">
        <v>623110</v>
      </c>
      <c r="D56" s="1" t="s">
        <v>47</v>
      </c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16">
        <f t="shared" si="10"/>
        <v>0</v>
      </c>
      <c r="V56" s="45" t="e">
        <f t="shared" si="11"/>
        <v>#DIV/0!</v>
      </c>
    </row>
    <row r="57" spans="1:22" x14ac:dyDescent="0.2">
      <c r="A57" s="3">
        <v>601506</v>
      </c>
      <c r="B57" s="3" t="s">
        <v>334</v>
      </c>
      <c r="C57" s="1">
        <v>623120</v>
      </c>
      <c r="D57" s="1" t="s">
        <v>48</v>
      </c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16">
        <f t="shared" si="10"/>
        <v>0</v>
      </c>
      <c r="V57" s="45" t="e">
        <f t="shared" si="11"/>
        <v>#DIV/0!</v>
      </c>
    </row>
    <row r="58" spans="1:22" x14ac:dyDescent="0.2">
      <c r="A58" s="3">
        <v>601506</v>
      </c>
      <c r="B58" s="3" t="s">
        <v>334</v>
      </c>
      <c r="C58" s="1">
        <v>623140</v>
      </c>
      <c r="D58" s="1" t="s">
        <v>49</v>
      </c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16">
        <f t="shared" si="10"/>
        <v>0</v>
      </c>
      <c r="V58" s="45" t="e">
        <f t="shared" si="11"/>
        <v>#DIV/0!</v>
      </c>
    </row>
    <row r="59" spans="1:22" x14ac:dyDescent="0.2">
      <c r="A59" s="3">
        <v>601506</v>
      </c>
      <c r="B59" s="3" t="s">
        <v>334</v>
      </c>
      <c r="C59" s="1">
        <v>623150</v>
      </c>
      <c r="D59" s="1" t="s">
        <v>50</v>
      </c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16">
        <f t="shared" si="10"/>
        <v>0</v>
      </c>
      <c r="V59" s="45" t="e">
        <f t="shared" si="11"/>
        <v>#DIV/0!</v>
      </c>
    </row>
    <row r="60" spans="1:22" x14ac:dyDescent="0.2">
      <c r="A60" s="3">
        <v>601506</v>
      </c>
      <c r="B60" s="3" t="s">
        <v>334</v>
      </c>
      <c r="C60" s="1">
        <v>623160</v>
      </c>
      <c r="D60" s="1" t="s">
        <v>51</v>
      </c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16">
        <f t="shared" si="10"/>
        <v>0</v>
      </c>
      <c r="V60" s="45" t="e">
        <f t="shared" si="11"/>
        <v>#DIV/0!</v>
      </c>
    </row>
    <row r="61" spans="1:22" x14ac:dyDescent="0.2">
      <c r="A61" s="3">
        <v>601508</v>
      </c>
      <c r="B61" s="3" t="s">
        <v>307</v>
      </c>
      <c r="C61" s="1">
        <v>624100</v>
      </c>
      <c r="D61" s="1" t="s">
        <v>52</v>
      </c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16">
        <f t="shared" si="10"/>
        <v>0</v>
      </c>
      <c r="V61" s="45" t="e">
        <f t="shared" si="11"/>
        <v>#DIV/0!</v>
      </c>
    </row>
    <row r="62" spans="1:22" x14ac:dyDescent="0.2">
      <c r="A62" s="3">
        <v>601508</v>
      </c>
      <c r="B62" s="3" t="s">
        <v>307</v>
      </c>
      <c r="C62" s="1">
        <v>624120</v>
      </c>
      <c r="D62" s="1" t="s">
        <v>53</v>
      </c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16">
        <f t="shared" si="10"/>
        <v>0</v>
      </c>
      <c r="V62" s="45" t="e">
        <f t="shared" si="11"/>
        <v>#DIV/0!</v>
      </c>
    </row>
    <row r="63" spans="1:22" x14ac:dyDescent="0.2">
      <c r="A63" s="3">
        <v>601508</v>
      </c>
      <c r="B63" s="3" t="s">
        <v>307</v>
      </c>
      <c r="C63" s="1">
        <v>624125</v>
      </c>
      <c r="D63" s="1" t="s">
        <v>54</v>
      </c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16">
        <f t="shared" si="10"/>
        <v>0</v>
      </c>
      <c r="V63" s="45" t="e">
        <f t="shared" si="11"/>
        <v>#DIV/0!</v>
      </c>
    </row>
    <row r="64" spans="1:22" x14ac:dyDescent="0.2">
      <c r="C64" s="1"/>
      <c r="D64" s="5" t="s">
        <v>230</v>
      </c>
      <c r="E64" s="6">
        <f>SUM(E27:E63)</f>
        <v>0</v>
      </c>
      <c r="F64" s="6">
        <f>SUM(F27:F63)</f>
        <v>0</v>
      </c>
      <c r="G64" s="6">
        <f t="shared" ref="G64:U64" si="12">SUM(G27:G63)</f>
        <v>0</v>
      </c>
      <c r="H64" s="6">
        <f t="shared" si="12"/>
        <v>0</v>
      </c>
      <c r="I64" s="6">
        <f t="shared" si="12"/>
        <v>0</v>
      </c>
      <c r="J64" s="6">
        <f t="shared" si="12"/>
        <v>0</v>
      </c>
      <c r="K64" s="6">
        <f t="shared" si="12"/>
        <v>0</v>
      </c>
      <c r="L64" s="6">
        <f t="shared" si="12"/>
        <v>0</v>
      </c>
      <c r="M64" s="6">
        <f t="shared" ref="M64:T64" si="13">SUM(M27:M63)</f>
        <v>0</v>
      </c>
      <c r="N64" s="6">
        <f t="shared" si="13"/>
        <v>0</v>
      </c>
      <c r="O64" s="6">
        <f t="shared" si="13"/>
        <v>0</v>
      </c>
      <c r="P64" s="6">
        <f t="shared" si="13"/>
        <v>0</v>
      </c>
      <c r="Q64" s="6">
        <f t="shared" si="13"/>
        <v>0</v>
      </c>
      <c r="R64" s="6">
        <f t="shared" si="13"/>
        <v>0</v>
      </c>
      <c r="S64" s="6">
        <f t="shared" si="13"/>
        <v>0</v>
      </c>
      <c r="T64" s="6">
        <f t="shared" si="13"/>
        <v>0</v>
      </c>
      <c r="U64" s="17">
        <f t="shared" si="12"/>
        <v>0</v>
      </c>
      <c r="V64" s="45" t="e">
        <f t="shared" si="11"/>
        <v>#DIV/0!</v>
      </c>
    </row>
    <row r="65" spans="1:22" x14ac:dyDescent="0.2">
      <c r="A65" s="3">
        <v>602400</v>
      </c>
      <c r="B65" s="3" t="s">
        <v>499</v>
      </c>
      <c r="C65" s="1">
        <v>625100</v>
      </c>
      <c r="D65" s="1" t="s">
        <v>55</v>
      </c>
      <c r="E65" s="22"/>
      <c r="F65" s="22"/>
      <c r="G65" s="22"/>
      <c r="H65" s="22"/>
      <c r="I65" s="22"/>
      <c r="J65" s="22"/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16">
        <f t="shared" ref="U65:U77" si="14">T65-S65</f>
        <v>0</v>
      </c>
      <c r="V65" s="45" t="e">
        <f t="shared" ref="V65:V77" si="15">U65/S65</f>
        <v>#DIV/0!</v>
      </c>
    </row>
    <row r="66" spans="1:22" x14ac:dyDescent="0.2">
      <c r="A66" s="3">
        <v>602500</v>
      </c>
      <c r="B66" s="3" t="s">
        <v>336</v>
      </c>
      <c r="C66" s="1">
        <v>626100</v>
      </c>
      <c r="D66" s="1" t="s">
        <v>56</v>
      </c>
      <c r="U66" s="16">
        <f t="shared" si="14"/>
        <v>0</v>
      </c>
      <c r="V66" s="45" t="e">
        <f t="shared" si="15"/>
        <v>#DIV/0!</v>
      </c>
    </row>
    <row r="67" spans="1:22" x14ac:dyDescent="0.2">
      <c r="A67" s="3">
        <v>602100</v>
      </c>
      <c r="B67" s="3" t="s">
        <v>57</v>
      </c>
      <c r="C67" s="1">
        <v>626110</v>
      </c>
      <c r="D67" s="1" t="s">
        <v>57</v>
      </c>
      <c r="U67" s="16">
        <f t="shared" si="14"/>
        <v>0</v>
      </c>
      <c r="V67" s="45" t="e">
        <f t="shared" si="15"/>
        <v>#DIV/0!</v>
      </c>
    </row>
    <row r="68" spans="1:22" x14ac:dyDescent="0.2">
      <c r="A68" s="3">
        <v>602101</v>
      </c>
      <c r="B68" s="3" t="s">
        <v>58</v>
      </c>
      <c r="C68" s="1">
        <v>626120</v>
      </c>
      <c r="D68" s="1" t="s">
        <v>58</v>
      </c>
      <c r="E68" s="22"/>
      <c r="F68" s="22"/>
      <c r="G68" s="22"/>
      <c r="H68" s="22"/>
      <c r="I68" s="22"/>
      <c r="J68" s="22"/>
      <c r="K68" s="22"/>
      <c r="L68" s="22"/>
      <c r="M68" s="22"/>
      <c r="N68" s="22"/>
      <c r="O68" s="22"/>
      <c r="P68" s="22"/>
      <c r="Q68" s="22"/>
      <c r="R68" s="22"/>
      <c r="S68" s="22"/>
      <c r="T68" s="22"/>
      <c r="U68" s="16">
        <f t="shared" si="14"/>
        <v>0</v>
      </c>
      <c r="V68" s="45" t="e">
        <f t="shared" si="15"/>
        <v>#DIV/0!</v>
      </c>
    </row>
    <row r="69" spans="1:22" x14ac:dyDescent="0.2">
      <c r="A69" s="3">
        <v>602200</v>
      </c>
      <c r="B69" s="3" t="s">
        <v>59</v>
      </c>
      <c r="C69" s="1">
        <v>626130</v>
      </c>
      <c r="D69" s="1" t="s">
        <v>59</v>
      </c>
      <c r="E69" s="22"/>
      <c r="F69" s="22"/>
      <c r="G69" s="22"/>
      <c r="H69" s="22"/>
      <c r="I69" s="22"/>
      <c r="J69" s="22"/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16">
        <f t="shared" si="14"/>
        <v>0</v>
      </c>
      <c r="V69" s="45" t="e">
        <f t="shared" si="15"/>
        <v>#DIV/0!</v>
      </c>
    </row>
    <row r="70" spans="1:22" x14ac:dyDescent="0.2">
      <c r="A70" s="3">
        <v>602300</v>
      </c>
      <c r="B70" s="3" t="s">
        <v>60</v>
      </c>
      <c r="C70" s="1">
        <v>626141</v>
      </c>
      <c r="D70" s="1" t="s">
        <v>60</v>
      </c>
      <c r="E70" s="22"/>
      <c r="F70" s="22"/>
      <c r="G70" s="22"/>
      <c r="H70" s="22"/>
      <c r="I70" s="22"/>
      <c r="J70" s="22"/>
      <c r="K70" s="22"/>
      <c r="L70" s="22"/>
      <c r="M70" s="22"/>
      <c r="N70" s="22"/>
      <c r="O70" s="22"/>
      <c r="P70" s="22"/>
      <c r="Q70" s="22"/>
      <c r="R70" s="22"/>
      <c r="S70" s="22"/>
      <c r="T70" s="22"/>
      <c r="U70" s="16">
        <f t="shared" si="14"/>
        <v>0</v>
      </c>
      <c r="V70" s="45" t="e">
        <f t="shared" si="15"/>
        <v>#DIV/0!</v>
      </c>
    </row>
    <row r="71" spans="1:22" x14ac:dyDescent="0.2">
      <c r="A71" s="3">
        <v>602301</v>
      </c>
      <c r="B71" s="3" t="s">
        <v>61</v>
      </c>
      <c r="C71" s="1">
        <v>626142</v>
      </c>
      <c r="D71" s="1" t="s">
        <v>61</v>
      </c>
      <c r="E71" s="22"/>
      <c r="F71" s="22"/>
      <c r="G71" s="22"/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16">
        <f t="shared" si="14"/>
        <v>0</v>
      </c>
      <c r="V71" s="45" t="e">
        <f t="shared" si="15"/>
        <v>#DIV/0!</v>
      </c>
    </row>
    <row r="72" spans="1:22" x14ac:dyDescent="0.2">
      <c r="A72" s="3">
        <v>602001</v>
      </c>
      <c r="B72" s="3" t="s">
        <v>62</v>
      </c>
      <c r="C72" s="1">
        <v>626171</v>
      </c>
      <c r="D72" s="1" t="s">
        <v>62</v>
      </c>
      <c r="E72" s="22"/>
      <c r="F72" s="22"/>
      <c r="G72" s="22"/>
      <c r="H72" s="22"/>
      <c r="I72" s="22"/>
      <c r="J72" s="22"/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16">
        <f t="shared" si="14"/>
        <v>0</v>
      </c>
      <c r="V72" s="45" t="e">
        <f t="shared" si="15"/>
        <v>#DIV/0!</v>
      </c>
    </row>
    <row r="73" spans="1:22" x14ac:dyDescent="0.2">
      <c r="A73" s="3">
        <v>602000</v>
      </c>
      <c r="B73" s="3" t="s">
        <v>63</v>
      </c>
      <c r="C73" s="1">
        <v>626172</v>
      </c>
      <c r="D73" s="1" t="s">
        <v>63</v>
      </c>
      <c r="E73" s="22"/>
      <c r="F73" s="22"/>
      <c r="G73" s="22"/>
      <c r="H73" s="22"/>
      <c r="I73" s="22"/>
      <c r="J73" s="22"/>
      <c r="K73" s="22"/>
      <c r="L73" s="22"/>
      <c r="M73" s="22"/>
      <c r="N73" s="22"/>
      <c r="O73" s="22"/>
      <c r="P73" s="22"/>
      <c r="Q73" s="22"/>
      <c r="R73" s="22"/>
      <c r="S73" s="22"/>
      <c r="T73" s="22"/>
      <c r="U73" s="16">
        <f t="shared" si="14"/>
        <v>0</v>
      </c>
      <c r="V73" s="45" t="e">
        <f t="shared" si="15"/>
        <v>#DIV/0!</v>
      </c>
    </row>
    <row r="74" spans="1:22" x14ac:dyDescent="0.2">
      <c r="A74" s="3">
        <v>602002</v>
      </c>
      <c r="B74" s="3" t="s">
        <v>335</v>
      </c>
      <c r="C74" s="1">
        <v>626173</v>
      </c>
      <c r="D74" s="1" t="s">
        <v>64</v>
      </c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6">
        <f t="shared" si="14"/>
        <v>0</v>
      </c>
      <c r="V74" s="45" t="e">
        <f t="shared" si="15"/>
        <v>#DIV/0!</v>
      </c>
    </row>
    <row r="75" spans="1:22" x14ac:dyDescent="0.2">
      <c r="A75" s="3">
        <v>602501</v>
      </c>
      <c r="B75" s="3" t="s">
        <v>434</v>
      </c>
      <c r="C75" s="1">
        <v>626200</v>
      </c>
      <c r="D75" s="1" t="s">
        <v>65</v>
      </c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6">
        <f t="shared" si="14"/>
        <v>0</v>
      </c>
      <c r="V75" s="45" t="e">
        <f t="shared" si="15"/>
        <v>#DIV/0!</v>
      </c>
    </row>
    <row r="76" spans="1:22" x14ac:dyDescent="0.2">
      <c r="A76" s="3">
        <v>602502</v>
      </c>
      <c r="B76" s="3" t="s">
        <v>66</v>
      </c>
      <c r="C76" s="1">
        <v>626210</v>
      </c>
      <c r="D76" s="1" t="s">
        <v>66</v>
      </c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6">
        <f t="shared" si="14"/>
        <v>0</v>
      </c>
      <c r="V76" s="45" t="e">
        <f t="shared" si="15"/>
        <v>#DIV/0!</v>
      </c>
    </row>
    <row r="77" spans="1:22" x14ac:dyDescent="0.2">
      <c r="A77" s="3">
        <v>602503</v>
      </c>
      <c r="B77" s="3" t="s">
        <v>67</v>
      </c>
      <c r="C77" s="1">
        <v>626300</v>
      </c>
      <c r="D77" s="1" t="s">
        <v>67</v>
      </c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6">
        <f t="shared" si="14"/>
        <v>0</v>
      </c>
      <c r="V77" s="45" t="e">
        <f t="shared" si="15"/>
        <v>#DIV/0!</v>
      </c>
    </row>
    <row r="78" spans="1:22" x14ac:dyDescent="0.2">
      <c r="C78" s="1"/>
      <c r="D78" s="5" t="s">
        <v>231</v>
      </c>
      <c r="E78" s="6">
        <f>SUM(E65:E77)</f>
        <v>0</v>
      </c>
      <c r="F78" s="6">
        <f>SUM(F65:F77)</f>
        <v>0</v>
      </c>
      <c r="G78" s="6">
        <f t="shared" ref="G78:U78" si="16">SUM(G65:G77)</f>
        <v>0</v>
      </c>
      <c r="H78" s="6">
        <f t="shared" si="16"/>
        <v>0</v>
      </c>
      <c r="I78" s="6">
        <f t="shared" si="16"/>
        <v>0</v>
      </c>
      <c r="J78" s="6">
        <f t="shared" si="16"/>
        <v>0</v>
      </c>
      <c r="K78" s="6">
        <f t="shared" si="16"/>
        <v>0</v>
      </c>
      <c r="L78" s="6">
        <f t="shared" si="16"/>
        <v>0</v>
      </c>
      <c r="M78" s="6">
        <f t="shared" si="16"/>
        <v>0</v>
      </c>
      <c r="N78" s="6">
        <f t="shared" si="16"/>
        <v>0</v>
      </c>
      <c r="O78" s="6">
        <f t="shared" si="16"/>
        <v>0</v>
      </c>
      <c r="P78" s="6">
        <f t="shared" si="16"/>
        <v>0</v>
      </c>
      <c r="Q78" s="6">
        <f t="shared" si="16"/>
        <v>0</v>
      </c>
      <c r="R78" s="6">
        <f t="shared" ref="R78:S78" si="17">SUM(R65:R77)</f>
        <v>0</v>
      </c>
      <c r="S78" s="6">
        <f t="shared" si="17"/>
        <v>0</v>
      </c>
      <c r="T78" s="6">
        <f t="shared" ref="T78" si="18">SUM(T65:T77)</f>
        <v>0</v>
      </c>
      <c r="U78" s="17">
        <f t="shared" si="16"/>
        <v>0</v>
      </c>
      <c r="V78" s="45" t="e">
        <f t="shared" ref="V78:V141" si="19">U78/S78</f>
        <v>#DIV/0!</v>
      </c>
    </row>
    <row r="79" spans="1:22" x14ac:dyDescent="0.2"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8"/>
      <c r="V79" s="45"/>
    </row>
    <row r="80" spans="1:22" x14ac:dyDescent="0.2">
      <c r="C80" s="1"/>
      <c r="D80" s="5" t="s">
        <v>232</v>
      </c>
      <c r="E80" s="7">
        <f>E26+E64+E78</f>
        <v>0</v>
      </c>
      <c r="F80" s="7">
        <f>F26+F64+F78</f>
        <v>0</v>
      </c>
      <c r="G80" s="7">
        <f t="shared" ref="G80:U80" si="20">G26+G64+G78</f>
        <v>0</v>
      </c>
      <c r="H80" s="7">
        <f t="shared" si="20"/>
        <v>0</v>
      </c>
      <c r="I80" s="7">
        <f t="shared" si="20"/>
        <v>0</v>
      </c>
      <c r="J80" s="7">
        <f t="shared" si="20"/>
        <v>0</v>
      </c>
      <c r="K80" s="7">
        <f t="shared" si="20"/>
        <v>0</v>
      </c>
      <c r="L80" s="7">
        <f t="shared" si="20"/>
        <v>0</v>
      </c>
      <c r="M80" s="7">
        <f t="shared" si="20"/>
        <v>0</v>
      </c>
      <c r="N80" s="7">
        <f t="shared" si="20"/>
        <v>0</v>
      </c>
      <c r="O80" s="7">
        <f t="shared" si="20"/>
        <v>0</v>
      </c>
      <c r="P80" s="7">
        <f t="shared" si="20"/>
        <v>0</v>
      </c>
      <c r="Q80" s="7">
        <f t="shared" si="20"/>
        <v>0</v>
      </c>
      <c r="R80" s="7">
        <f t="shared" ref="R80:S80" si="21">R26+R64+R78</f>
        <v>0</v>
      </c>
      <c r="S80" s="7">
        <f t="shared" si="21"/>
        <v>0</v>
      </c>
      <c r="T80" s="7">
        <f t="shared" ref="T80" si="22">T26+T64+T78</f>
        <v>0</v>
      </c>
      <c r="U80" s="19">
        <f t="shared" si="20"/>
        <v>0</v>
      </c>
      <c r="V80" s="45" t="e">
        <f t="shared" si="19"/>
        <v>#DIV/0!</v>
      </c>
    </row>
    <row r="81" spans="1:22" x14ac:dyDescent="0.2">
      <c r="A81" s="3">
        <v>703000</v>
      </c>
      <c r="B81" s="3" t="s">
        <v>353</v>
      </c>
      <c r="C81" s="1">
        <v>711100</v>
      </c>
      <c r="D81" s="1" t="s">
        <v>68</v>
      </c>
      <c r="E81" s="22"/>
      <c r="F81" s="22">
        <v>-3990</v>
      </c>
      <c r="G81" s="22"/>
      <c r="H81" s="22">
        <v>-2060</v>
      </c>
      <c r="I81" s="22"/>
      <c r="J81" s="22">
        <v>-3800</v>
      </c>
      <c r="K81" s="22"/>
      <c r="L81" s="22">
        <v>-1191</v>
      </c>
      <c r="M81" s="22"/>
      <c r="N81" s="22">
        <v>-640</v>
      </c>
      <c r="O81" s="22">
        <v>-1280</v>
      </c>
      <c r="P81" s="22">
        <v>-4276</v>
      </c>
      <c r="Q81" s="22">
        <v>-6859</v>
      </c>
      <c r="R81" s="22">
        <f>3069340.74-3075940.74</f>
        <v>-6600</v>
      </c>
      <c r="S81" s="22">
        <f>2823133.99-2845971.99</f>
        <v>-22838</v>
      </c>
      <c r="T81" s="22">
        <f>2412661.34-2431590.34</f>
        <v>-18929</v>
      </c>
      <c r="U81" s="16">
        <f t="shared" ref="U81:U144" si="23">T81-S81</f>
        <v>3909</v>
      </c>
      <c r="V81" s="45">
        <f t="shared" si="19"/>
        <v>-0.17116209825729048</v>
      </c>
    </row>
    <row r="82" spans="1:22" x14ac:dyDescent="0.2">
      <c r="A82" s="3">
        <v>704000</v>
      </c>
      <c r="B82" s="3" t="s">
        <v>302</v>
      </c>
      <c r="C82" s="57">
        <v>711200</v>
      </c>
      <c r="D82" s="57" t="s">
        <v>302</v>
      </c>
      <c r="E82" s="22">
        <v>0</v>
      </c>
      <c r="F82" s="22">
        <v>0</v>
      </c>
      <c r="G82" s="22">
        <v>0</v>
      </c>
      <c r="H82" s="22">
        <v>0</v>
      </c>
      <c r="I82" s="22">
        <v>0</v>
      </c>
      <c r="J82" s="22">
        <v>0</v>
      </c>
      <c r="K82" s="22">
        <v>0</v>
      </c>
      <c r="L82" s="22">
        <v>0</v>
      </c>
      <c r="M82" s="22">
        <v>0</v>
      </c>
      <c r="N82" s="22"/>
      <c r="O82" s="22"/>
      <c r="P82" s="22"/>
      <c r="Q82" s="22"/>
      <c r="R82" s="22"/>
      <c r="S82" s="22"/>
      <c r="T82" s="22"/>
      <c r="U82" s="16">
        <f t="shared" si="23"/>
        <v>0</v>
      </c>
      <c r="V82" s="45" t="e">
        <f t="shared" si="19"/>
        <v>#DIV/0!</v>
      </c>
    </row>
    <row r="83" spans="1:22" x14ac:dyDescent="0.2">
      <c r="A83" s="71">
        <v>704200</v>
      </c>
      <c r="B83" s="72" t="s">
        <v>265</v>
      </c>
      <c r="C83" s="40">
        <v>711300</v>
      </c>
      <c r="D83" s="40" t="s">
        <v>265</v>
      </c>
      <c r="E83" s="22"/>
      <c r="F83" s="22"/>
      <c r="G83" s="22"/>
      <c r="H83" s="22"/>
      <c r="I83" s="22"/>
      <c r="J83" s="22"/>
      <c r="K83" s="22"/>
      <c r="L83" s="22"/>
      <c r="M83" s="22"/>
      <c r="N83" s="22"/>
      <c r="O83" s="22"/>
      <c r="P83" s="22"/>
      <c r="Q83" s="22"/>
      <c r="R83" s="41">
        <v>12500</v>
      </c>
      <c r="S83" s="41">
        <v>17500</v>
      </c>
      <c r="T83" s="48"/>
      <c r="U83" s="16">
        <f t="shared" si="23"/>
        <v>-17500</v>
      </c>
      <c r="V83" s="45">
        <f t="shared" si="19"/>
        <v>-1</v>
      </c>
    </row>
    <row r="84" spans="1:22" x14ac:dyDescent="0.2">
      <c r="A84" s="3">
        <v>704201</v>
      </c>
      <c r="B84" s="3" t="s">
        <v>435</v>
      </c>
      <c r="C84" s="57">
        <v>711400</v>
      </c>
      <c r="D84" s="57" t="s">
        <v>283</v>
      </c>
      <c r="E84" s="22">
        <v>5133894.6100000003</v>
      </c>
      <c r="F84" s="22">
        <v>5128301.93</v>
      </c>
      <c r="G84" s="22">
        <v>7479180.29</v>
      </c>
      <c r="H84" s="22">
        <v>8827713.7599999998</v>
      </c>
      <c r="I84" s="22">
        <v>12315021.84</v>
      </c>
      <c r="J84" s="22">
        <v>12948526.220000001</v>
      </c>
      <c r="K84" s="22">
        <v>13969495.289999999</v>
      </c>
      <c r="L84" s="22">
        <v>13714345.529999999</v>
      </c>
      <c r="M84" s="22">
        <v>13883562.57</v>
      </c>
      <c r="N84" s="22">
        <v>15380216.880000001</v>
      </c>
      <c r="O84" s="22">
        <v>15403708.310000001</v>
      </c>
      <c r="P84" s="22">
        <f>23268113.59-9293236.44+53927.8</f>
        <v>14028804.950000001</v>
      </c>
      <c r="Q84" s="22">
        <f>25291069.52-8864025.09+63022</f>
        <v>16490066.43</v>
      </c>
      <c r="R84" s="22">
        <f>25631414.59-9977078.06+58418</f>
        <v>15712754.529999999</v>
      </c>
      <c r="S84" s="22">
        <f>25299540.19-10263282+46198</f>
        <v>15082456.190000001</v>
      </c>
      <c r="T84" s="48">
        <f>25576039.96-10889079+41188.65</f>
        <v>14728149.610000001</v>
      </c>
      <c r="U84" s="16">
        <f t="shared" si="23"/>
        <v>-354306.58000000007</v>
      </c>
      <c r="V84" s="45">
        <f t="shared" si="19"/>
        <v>-2.3491305098894508E-2</v>
      </c>
    </row>
    <row r="85" spans="1:22" x14ac:dyDescent="0.2">
      <c r="A85" s="72">
        <v>704300</v>
      </c>
      <c r="B85" s="72" t="s">
        <v>481</v>
      </c>
      <c r="C85" s="57"/>
      <c r="D85" s="57"/>
      <c r="E85" s="22"/>
      <c r="F85" s="22"/>
      <c r="G85" s="22"/>
      <c r="H85" s="22"/>
      <c r="I85" s="22"/>
      <c r="J85" s="22"/>
      <c r="K85" s="22"/>
      <c r="L85" s="22"/>
      <c r="M85" s="22"/>
      <c r="N85" s="22"/>
      <c r="O85" s="22"/>
      <c r="P85" s="22"/>
      <c r="Q85" s="22"/>
      <c r="R85" s="22"/>
      <c r="S85" s="41">
        <v>3689583</v>
      </c>
      <c r="T85" s="41">
        <v>5285356.57</v>
      </c>
      <c r="U85" s="16">
        <f t="shared" si="23"/>
        <v>1595773.5700000003</v>
      </c>
      <c r="V85" s="45">
        <f t="shared" si="19"/>
        <v>0.43250783896174727</v>
      </c>
    </row>
    <row r="86" spans="1:22" x14ac:dyDescent="0.2">
      <c r="A86" s="3">
        <v>704500</v>
      </c>
      <c r="B86" s="3" t="s">
        <v>354</v>
      </c>
      <c r="C86" s="57">
        <v>711405</v>
      </c>
      <c r="D86" s="57" t="s">
        <v>182</v>
      </c>
      <c r="E86" s="22">
        <v>12609229.860000001</v>
      </c>
      <c r="F86" s="22">
        <v>15864784.49</v>
      </c>
      <c r="G86" s="22">
        <v>14978379.649999999</v>
      </c>
      <c r="H86" s="22">
        <v>14025882.880000001</v>
      </c>
      <c r="I86" s="22">
        <v>12428617.93</v>
      </c>
      <c r="J86" s="22">
        <v>10615528.5</v>
      </c>
      <c r="K86" s="22">
        <v>6634070.8099999996</v>
      </c>
      <c r="L86" s="22">
        <v>7313722.2599999998</v>
      </c>
      <c r="M86" s="22">
        <v>7589316.6800000006</v>
      </c>
      <c r="N86" s="42">
        <v>8546992.6300000008</v>
      </c>
      <c r="O86" s="42">
        <v>9002245.5700000003</v>
      </c>
      <c r="P86" s="42">
        <v>9471188.1600000001</v>
      </c>
      <c r="Q86" s="42">
        <v>10588370.439999999</v>
      </c>
      <c r="R86" s="41">
        <v>11148865.720000001</v>
      </c>
      <c r="S86" s="41">
        <v>11446567.370000001</v>
      </c>
      <c r="T86" s="41">
        <v>10645130.810000001</v>
      </c>
      <c r="U86" s="16">
        <f t="shared" si="23"/>
        <v>-801436.56000000052</v>
      </c>
      <c r="V86" s="45">
        <f t="shared" si="19"/>
        <v>-7.0015449531224877E-2</v>
      </c>
    </row>
    <row r="87" spans="1:22" x14ac:dyDescent="0.2">
      <c r="A87" s="3">
        <v>704600</v>
      </c>
      <c r="B87" s="3" t="s">
        <v>355</v>
      </c>
      <c r="C87" s="1">
        <v>711500</v>
      </c>
      <c r="D87" s="1" t="s">
        <v>69</v>
      </c>
      <c r="E87" s="22">
        <v>-29443.16</v>
      </c>
      <c r="F87" s="22">
        <v>-1734.74</v>
      </c>
      <c r="G87" s="22">
        <v>14667.31</v>
      </c>
      <c r="H87" s="22">
        <v>49999.520000000004</v>
      </c>
      <c r="I87" s="22">
        <v>38957.14</v>
      </c>
      <c r="J87" s="22">
        <v>21002.44</v>
      </c>
      <c r="K87" s="22">
        <v>42174.58</v>
      </c>
      <c r="L87" s="22">
        <v>28291.95</v>
      </c>
      <c r="M87" s="22">
        <v>37523.31</v>
      </c>
      <c r="N87" s="42">
        <v>30175.99</v>
      </c>
      <c r="O87" s="42">
        <v>29994.45</v>
      </c>
      <c r="P87" s="42">
        <v>27197.34</v>
      </c>
      <c r="Q87" s="42">
        <v>55364.44</v>
      </c>
      <c r="R87" s="41">
        <v>50968.32</v>
      </c>
      <c r="S87" s="41">
        <v>24481.74</v>
      </c>
      <c r="T87" s="41">
        <v>-139298.07</v>
      </c>
      <c r="U87" s="16">
        <f t="shared" si="23"/>
        <v>-163779.81</v>
      </c>
      <c r="V87" s="45">
        <f t="shared" si="19"/>
        <v>-6.6898762097792064</v>
      </c>
    </row>
    <row r="88" spans="1:22" x14ac:dyDescent="0.2">
      <c r="A88" s="3">
        <v>704900</v>
      </c>
      <c r="B88" s="3" t="s">
        <v>303</v>
      </c>
      <c r="C88" s="57">
        <v>711600</v>
      </c>
      <c r="D88" s="57" t="s">
        <v>303</v>
      </c>
      <c r="E88" s="22"/>
      <c r="F88" s="22">
        <v>24187.58</v>
      </c>
      <c r="G88" s="22">
        <v>26829.05</v>
      </c>
      <c r="H88" s="22">
        <v>20131.689999999999</v>
      </c>
      <c r="I88" s="22">
        <v>32936.43</v>
      </c>
      <c r="J88" s="22">
        <v>22220.880000000001</v>
      </c>
      <c r="K88" s="22">
        <v>32578.41</v>
      </c>
      <c r="L88" s="22">
        <v>9274.4600000000009</v>
      </c>
      <c r="M88" s="22">
        <v>14956.130000000001</v>
      </c>
      <c r="N88" s="42">
        <v>17332.03</v>
      </c>
      <c r="O88" s="42">
        <v>20216.260000000002</v>
      </c>
      <c r="P88" s="42">
        <v>21049.5</v>
      </c>
      <c r="Q88" s="42">
        <v>13836.24</v>
      </c>
      <c r="R88" s="41">
        <v>19104.03</v>
      </c>
      <c r="S88" s="41">
        <v>13118.74</v>
      </c>
      <c r="T88" s="41">
        <v>26642.3</v>
      </c>
      <c r="U88" s="16">
        <f t="shared" si="23"/>
        <v>13523.56</v>
      </c>
      <c r="V88" s="45">
        <f t="shared" si="19"/>
        <v>1.0308581464378439</v>
      </c>
    </row>
    <row r="89" spans="1:22" x14ac:dyDescent="0.2">
      <c r="A89" s="3">
        <v>702106</v>
      </c>
      <c r="B89" s="3" t="s">
        <v>351</v>
      </c>
      <c r="C89" s="1">
        <v>713100</v>
      </c>
      <c r="D89" s="1" t="s">
        <v>70</v>
      </c>
      <c r="E89" s="22"/>
      <c r="F89" s="22"/>
      <c r="G89" s="22">
        <v>373.6</v>
      </c>
      <c r="H89" s="22">
        <v>438.75</v>
      </c>
      <c r="I89" s="22">
        <v>903.25</v>
      </c>
      <c r="J89" s="22">
        <v>207.8</v>
      </c>
      <c r="K89" s="22">
        <v>1789.25</v>
      </c>
      <c r="L89" s="22">
        <v>6593.1799999999994</v>
      </c>
      <c r="M89" s="22">
        <v>579.75</v>
      </c>
      <c r="N89" s="42">
        <v>447.7</v>
      </c>
      <c r="O89" s="42">
        <v>6725.75</v>
      </c>
      <c r="P89" s="42">
        <v>8007.5</v>
      </c>
      <c r="Q89" s="42">
        <v>4633.5</v>
      </c>
      <c r="R89" s="41">
        <v>3296.4500000000003</v>
      </c>
      <c r="S89" s="41">
        <v>2674.05</v>
      </c>
      <c r="T89" s="41"/>
      <c r="U89" s="16">
        <f t="shared" si="23"/>
        <v>-2674.05</v>
      </c>
      <c r="V89" s="45">
        <f t="shared" si="19"/>
        <v>-1</v>
      </c>
    </row>
    <row r="90" spans="1:22" x14ac:dyDescent="0.2">
      <c r="A90" s="3">
        <v>702106</v>
      </c>
      <c r="B90" s="3" t="s">
        <v>351</v>
      </c>
      <c r="C90" s="1">
        <v>713101</v>
      </c>
      <c r="D90" s="1" t="s">
        <v>71</v>
      </c>
      <c r="U90" s="16">
        <f t="shared" si="23"/>
        <v>0</v>
      </c>
      <c r="V90" s="45" t="e">
        <f t="shared" si="19"/>
        <v>#DIV/0!</v>
      </c>
    </row>
    <row r="91" spans="1:22" x14ac:dyDescent="0.2">
      <c r="A91" s="3">
        <v>702109</v>
      </c>
      <c r="B91" s="3" t="s">
        <v>72</v>
      </c>
      <c r="C91" s="1">
        <v>713115</v>
      </c>
      <c r="D91" s="1" t="s">
        <v>72</v>
      </c>
      <c r="U91" s="16">
        <f t="shared" si="23"/>
        <v>0</v>
      </c>
      <c r="V91" s="45" t="e">
        <f t="shared" si="19"/>
        <v>#DIV/0!</v>
      </c>
    </row>
    <row r="92" spans="1:22" x14ac:dyDescent="0.2">
      <c r="A92" s="3">
        <v>702111</v>
      </c>
      <c r="B92" s="3" t="s">
        <v>352</v>
      </c>
      <c r="C92" s="1">
        <v>713125</v>
      </c>
      <c r="D92" s="1" t="s">
        <v>73</v>
      </c>
      <c r="E92" s="22"/>
      <c r="F92" s="22"/>
      <c r="G92" s="22">
        <v>3219.75</v>
      </c>
      <c r="H92" s="22"/>
      <c r="I92" s="22">
        <v>3187.8</v>
      </c>
      <c r="J92" s="22">
        <v>3187.8</v>
      </c>
      <c r="K92" s="22">
        <v>185.01</v>
      </c>
      <c r="L92" s="22">
        <v>3821.7200000000003</v>
      </c>
      <c r="M92" s="22">
        <v>39.6</v>
      </c>
      <c r="N92" s="22"/>
      <c r="O92" s="42">
        <v>3735.27</v>
      </c>
      <c r="P92" s="42">
        <v>3509.55</v>
      </c>
      <c r="Q92" s="42">
        <v>3735.27</v>
      </c>
      <c r="R92" s="41">
        <v>3697.65</v>
      </c>
      <c r="S92" s="41">
        <v>3117.66</v>
      </c>
      <c r="T92" s="41"/>
      <c r="U92" s="16">
        <f t="shared" si="23"/>
        <v>-3117.66</v>
      </c>
      <c r="V92" s="45">
        <f t="shared" si="19"/>
        <v>-1</v>
      </c>
    </row>
    <row r="93" spans="1:22" x14ac:dyDescent="0.2">
      <c r="A93" s="3">
        <v>702200</v>
      </c>
      <c r="B93" s="3" t="s">
        <v>74</v>
      </c>
      <c r="C93" s="1">
        <v>713135</v>
      </c>
      <c r="D93" s="1" t="s">
        <v>74</v>
      </c>
      <c r="E93" s="22">
        <v>2079.08</v>
      </c>
      <c r="F93" s="22"/>
      <c r="G93" s="22"/>
      <c r="H93" s="22">
        <v>3102.75</v>
      </c>
      <c r="I93" s="22">
        <v>70</v>
      </c>
      <c r="J93" s="22">
        <v>237.67000000000002</v>
      </c>
      <c r="K93" s="22">
        <v>377.5</v>
      </c>
      <c r="L93" s="22"/>
      <c r="M93" s="22">
        <v>62</v>
      </c>
      <c r="N93" s="42">
        <v>994.23</v>
      </c>
      <c r="O93" s="42">
        <v>5706.96</v>
      </c>
      <c r="P93" s="42">
        <v>5376.14</v>
      </c>
      <c r="Q93" s="42">
        <v>5550.55</v>
      </c>
      <c r="R93" s="41">
        <v>136.4</v>
      </c>
      <c r="S93" s="41"/>
      <c r="T93" s="41">
        <v>93.56</v>
      </c>
      <c r="U93" s="16">
        <f t="shared" si="23"/>
        <v>93.56</v>
      </c>
      <c r="V93" s="45" t="e">
        <f t="shared" si="19"/>
        <v>#DIV/0!</v>
      </c>
    </row>
    <row r="94" spans="1:22" x14ac:dyDescent="0.2">
      <c r="A94" s="3">
        <v>702103</v>
      </c>
      <c r="B94" s="3" t="s">
        <v>349</v>
      </c>
      <c r="C94" s="1">
        <v>713140</v>
      </c>
      <c r="D94" s="1" t="s">
        <v>75</v>
      </c>
      <c r="R94" s="73"/>
      <c r="S94" s="73"/>
      <c r="T94" s="73"/>
      <c r="U94" s="16">
        <f t="shared" si="23"/>
        <v>0</v>
      </c>
      <c r="V94" s="45" t="e">
        <f t="shared" si="19"/>
        <v>#DIV/0!</v>
      </c>
    </row>
    <row r="95" spans="1:22" x14ac:dyDescent="0.2">
      <c r="A95" s="3">
        <v>705700</v>
      </c>
      <c r="B95" s="3" t="s">
        <v>437</v>
      </c>
      <c r="C95" s="1">
        <v>713145</v>
      </c>
      <c r="D95" s="1" t="s">
        <v>76</v>
      </c>
      <c r="R95" s="73"/>
      <c r="S95" s="73"/>
      <c r="T95" s="73"/>
      <c r="U95" s="16">
        <f t="shared" si="23"/>
        <v>0</v>
      </c>
      <c r="V95" s="45" t="e">
        <f t="shared" si="19"/>
        <v>#DIV/0!</v>
      </c>
    </row>
    <row r="96" spans="1:22" x14ac:dyDescent="0.2">
      <c r="A96" s="3">
        <v>701000</v>
      </c>
      <c r="B96" s="3" t="s">
        <v>77</v>
      </c>
      <c r="C96" s="1">
        <v>721100</v>
      </c>
      <c r="D96" s="1" t="s">
        <v>77</v>
      </c>
      <c r="R96" s="73"/>
      <c r="S96" s="73"/>
      <c r="T96" s="73"/>
      <c r="U96" s="16">
        <f t="shared" si="23"/>
        <v>0</v>
      </c>
      <c r="V96" s="45" t="e">
        <f t="shared" si="19"/>
        <v>#DIV/0!</v>
      </c>
    </row>
    <row r="97" spans="1:22" x14ac:dyDescent="0.2">
      <c r="A97" s="3">
        <v>701001</v>
      </c>
      <c r="B97" s="3" t="s">
        <v>78</v>
      </c>
      <c r="C97" s="1">
        <v>721105</v>
      </c>
      <c r="D97" s="1" t="s">
        <v>78</v>
      </c>
      <c r="E97" s="22"/>
      <c r="F97" s="22"/>
      <c r="G97" s="22"/>
      <c r="H97" s="22"/>
      <c r="I97" s="22"/>
      <c r="J97" s="22">
        <v>2231.39</v>
      </c>
      <c r="K97" s="22"/>
      <c r="L97" s="22"/>
      <c r="M97" s="22"/>
      <c r="N97" s="22"/>
      <c r="O97" s="22"/>
      <c r="P97" s="22"/>
      <c r="Q97" s="22"/>
      <c r="R97" s="41"/>
      <c r="S97" s="41"/>
      <c r="T97" s="41"/>
      <c r="U97" s="16">
        <f t="shared" si="23"/>
        <v>0</v>
      </c>
      <c r="V97" s="45" t="e">
        <f t="shared" si="19"/>
        <v>#DIV/0!</v>
      </c>
    </row>
    <row r="98" spans="1:22" x14ac:dyDescent="0.2">
      <c r="A98" s="3">
        <v>701200</v>
      </c>
      <c r="B98" s="3" t="s">
        <v>338</v>
      </c>
      <c r="C98" s="1">
        <v>721110</v>
      </c>
      <c r="D98" s="1" t="s">
        <v>79</v>
      </c>
      <c r="R98" s="41"/>
      <c r="S98" s="41"/>
      <c r="T98" s="41"/>
      <c r="U98" s="16">
        <f t="shared" si="23"/>
        <v>0</v>
      </c>
      <c r="V98" s="45" t="e">
        <f t="shared" si="19"/>
        <v>#DIV/0!</v>
      </c>
    </row>
    <row r="99" spans="1:22" x14ac:dyDescent="0.2">
      <c r="A99" s="3">
        <v>701202</v>
      </c>
      <c r="B99" s="3" t="s">
        <v>80</v>
      </c>
      <c r="C99" s="1">
        <v>721115</v>
      </c>
      <c r="D99" s="1" t="s">
        <v>80</v>
      </c>
      <c r="U99" s="16">
        <f t="shared" si="23"/>
        <v>0</v>
      </c>
      <c r="V99" s="45" t="e">
        <f t="shared" si="19"/>
        <v>#DIV/0!</v>
      </c>
    </row>
    <row r="100" spans="1:22" x14ac:dyDescent="0.2">
      <c r="A100" s="3">
        <v>701404</v>
      </c>
      <c r="B100" s="3" t="s">
        <v>343</v>
      </c>
      <c r="C100" s="1">
        <v>721120</v>
      </c>
      <c r="D100" s="1" t="s">
        <v>81</v>
      </c>
      <c r="E100" s="22"/>
      <c r="F100" s="22">
        <v>3519</v>
      </c>
      <c r="G100" s="22"/>
      <c r="H100" s="22">
        <v>200</v>
      </c>
      <c r="I100" s="22">
        <v>299</v>
      </c>
      <c r="J100" s="22">
        <v>1300</v>
      </c>
      <c r="K100" s="22">
        <v>2576.14</v>
      </c>
      <c r="L100" s="22">
        <v>7200</v>
      </c>
      <c r="M100" s="22">
        <v>2000</v>
      </c>
      <c r="N100" s="42">
        <v>900</v>
      </c>
      <c r="O100" s="42">
        <v>4000</v>
      </c>
      <c r="P100" s="42"/>
      <c r="Q100" s="42"/>
      <c r="R100" s="41">
        <v>10999</v>
      </c>
      <c r="S100" s="41">
        <v>9999</v>
      </c>
      <c r="T100" s="41"/>
      <c r="U100" s="16">
        <f t="shared" si="23"/>
        <v>-9999</v>
      </c>
      <c r="V100" s="45">
        <f t="shared" si="19"/>
        <v>-1</v>
      </c>
    </row>
    <row r="101" spans="1:22" x14ac:dyDescent="0.2">
      <c r="A101" s="3">
        <v>701100</v>
      </c>
      <c r="B101" s="3" t="s">
        <v>337</v>
      </c>
      <c r="C101" s="1">
        <v>721125</v>
      </c>
      <c r="D101" s="1" t="s">
        <v>82</v>
      </c>
      <c r="E101" s="22"/>
      <c r="F101" s="22">
        <v>181</v>
      </c>
      <c r="G101" s="22"/>
      <c r="H101" s="22"/>
      <c r="I101" s="22"/>
      <c r="J101" s="22"/>
      <c r="K101" s="22">
        <v>667.5</v>
      </c>
      <c r="L101" s="22"/>
      <c r="M101" s="22"/>
      <c r="N101" s="22"/>
      <c r="O101" s="22"/>
      <c r="P101" s="22"/>
      <c r="Q101" s="22"/>
      <c r="R101" s="41"/>
      <c r="S101" s="41"/>
      <c r="T101" s="41"/>
      <c r="U101" s="16">
        <f t="shared" si="23"/>
        <v>0</v>
      </c>
      <c r="V101" s="45" t="e">
        <f t="shared" si="19"/>
        <v>#DIV/0!</v>
      </c>
    </row>
    <row r="102" spans="1:22" x14ac:dyDescent="0.2">
      <c r="A102" s="72">
        <v>701105</v>
      </c>
      <c r="B102" s="72" t="s">
        <v>467</v>
      </c>
      <c r="C102" s="1"/>
      <c r="D102" s="1"/>
      <c r="E102" s="22"/>
      <c r="F102" s="22"/>
      <c r="G102" s="22"/>
      <c r="H102" s="22"/>
      <c r="I102" s="22"/>
      <c r="J102" s="22"/>
      <c r="K102" s="22"/>
      <c r="L102" s="22"/>
      <c r="M102" s="22"/>
      <c r="N102" s="22"/>
      <c r="O102" s="22"/>
      <c r="P102" s="22"/>
      <c r="Q102" s="22"/>
      <c r="R102" s="41"/>
      <c r="S102" s="41">
        <v>38381.75</v>
      </c>
      <c r="T102" s="41">
        <v>28380.83</v>
      </c>
      <c r="U102" s="16">
        <f t="shared" si="23"/>
        <v>-10000.919999999998</v>
      </c>
      <c r="V102" s="45">
        <f t="shared" si="19"/>
        <v>-0.26056446097429115</v>
      </c>
    </row>
    <row r="103" spans="1:22" x14ac:dyDescent="0.2">
      <c r="A103" s="3">
        <v>701301</v>
      </c>
      <c r="B103" s="3" t="s">
        <v>339</v>
      </c>
      <c r="C103" s="1">
        <v>721135</v>
      </c>
      <c r="D103" s="1" t="s">
        <v>83</v>
      </c>
      <c r="E103" s="22"/>
      <c r="F103" s="22">
        <v>1040</v>
      </c>
      <c r="G103" s="22"/>
      <c r="H103" s="22">
        <v>3298.77</v>
      </c>
      <c r="I103" s="22">
        <v>13032.79</v>
      </c>
      <c r="J103" s="22">
        <v>18662.68</v>
      </c>
      <c r="K103" s="22">
        <v>16891.990000000002</v>
      </c>
      <c r="L103" s="22">
        <v>17024.7</v>
      </c>
      <c r="M103" s="22">
        <v>17856.260000000002</v>
      </c>
      <c r="N103" s="42">
        <v>20481.36</v>
      </c>
      <c r="O103" s="42">
        <v>29571.200000000001</v>
      </c>
      <c r="P103" s="42">
        <v>746.55000000000007</v>
      </c>
      <c r="Q103" s="42">
        <v>9016.9</v>
      </c>
      <c r="R103" s="41">
        <v>3893.16</v>
      </c>
      <c r="S103" s="41">
        <v>1318.31</v>
      </c>
      <c r="T103" s="41">
        <v>2089.9900000000002</v>
      </c>
      <c r="U103" s="16">
        <f t="shared" si="23"/>
        <v>771.68000000000029</v>
      </c>
      <c r="V103" s="45">
        <f t="shared" si="19"/>
        <v>0.58535549301757572</v>
      </c>
    </row>
    <row r="104" spans="1:22" x14ac:dyDescent="0.2">
      <c r="A104" s="3">
        <v>701403</v>
      </c>
      <c r="B104" s="3" t="s">
        <v>342</v>
      </c>
      <c r="C104" s="1">
        <v>721140</v>
      </c>
      <c r="D104" s="1" t="s">
        <v>84</v>
      </c>
      <c r="E104" s="22"/>
      <c r="F104" s="22"/>
      <c r="G104" s="22"/>
      <c r="H104" s="22"/>
      <c r="I104" s="22">
        <v>1405</v>
      </c>
      <c r="J104" s="22">
        <v>335</v>
      </c>
      <c r="K104" s="22">
        <v>140.45000000000002</v>
      </c>
      <c r="L104" s="22"/>
      <c r="M104" s="22"/>
      <c r="N104" s="42">
        <v>755</v>
      </c>
      <c r="O104" s="42"/>
      <c r="P104" s="42"/>
      <c r="Q104" s="42"/>
      <c r="R104" s="41">
        <v>642.20000000000005</v>
      </c>
      <c r="S104" s="41">
        <v>91.4</v>
      </c>
      <c r="T104" s="41"/>
      <c r="U104" s="16">
        <f t="shared" si="23"/>
        <v>-91.4</v>
      </c>
      <c r="V104" s="45">
        <f t="shared" si="19"/>
        <v>-1</v>
      </c>
    </row>
    <row r="105" spans="1:22" x14ac:dyDescent="0.2">
      <c r="A105" s="3">
        <v>701302</v>
      </c>
      <c r="B105" s="3" t="s">
        <v>340</v>
      </c>
      <c r="C105" s="1">
        <v>721145</v>
      </c>
      <c r="D105" s="1" t="s">
        <v>85</v>
      </c>
      <c r="E105" s="22"/>
      <c r="F105" s="22"/>
      <c r="G105" s="22">
        <v>1000</v>
      </c>
      <c r="H105" s="22">
        <v>2209.88</v>
      </c>
      <c r="I105" s="22">
        <v>645</v>
      </c>
      <c r="J105" s="22"/>
      <c r="K105" s="22">
        <v>159.94999999999999</v>
      </c>
      <c r="L105" s="22"/>
      <c r="M105" s="22">
        <v>5600</v>
      </c>
      <c r="N105" s="42">
        <v>4</v>
      </c>
      <c r="O105" s="42">
        <v>1016.44</v>
      </c>
      <c r="P105" s="42">
        <v>575</v>
      </c>
      <c r="Q105" s="42">
        <v>29330</v>
      </c>
      <c r="R105" s="41">
        <v>101256.17</v>
      </c>
      <c r="S105" s="41">
        <v>77169.259999999995</v>
      </c>
      <c r="T105" s="41">
        <v>237481.84</v>
      </c>
      <c r="U105" s="16">
        <f t="shared" si="23"/>
        <v>160312.58000000002</v>
      </c>
      <c r="V105" s="45">
        <f t="shared" si="19"/>
        <v>2.0774150225102588</v>
      </c>
    </row>
    <row r="106" spans="1:22" x14ac:dyDescent="0.2">
      <c r="A106" s="3">
        <v>701400</v>
      </c>
      <c r="B106" s="3" t="s">
        <v>341</v>
      </c>
      <c r="C106" s="1">
        <v>721146</v>
      </c>
      <c r="D106" s="1" t="s">
        <v>86</v>
      </c>
      <c r="T106" s="41"/>
      <c r="U106" s="16">
        <f t="shared" si="23"/>
        <v>0</v>
      </c>
      <c r="V106" s="45" t="e">
        <f t="shared" si="19"/>
        <v>#DIV/0!</v>
      </c>
    </row>
    <row r="107" spans="1:22" x14ac:dyDescent="0.2">
      <c r="A107" s="3">
        <v>701406</v>
      </c>
      <c r="B107" s="3" t="s">
        <v>345</v>
      </c>
      <c r="C107" s="1">
        <v>721150</v>
      </c>
      <c r="D107" s="1" t="s">
        <v>87</v>
      </c>
      <c r="E107" s="22"/>
      <c r="F107" s="22"/>
      <c r="G107" s="22"/>
      <c r="H107" s="22">
        <v>100</v>
      </c>
      <c r="I107" s="22"/>
      <c r="J107" s="22"/>
      <c r="K107" s="22"/>
      <c r="L107" s="22">
        <v>24500</v>
      </c>
      <c r="M107" s="22">
        <v>35100</v>
      </c>
      <c r="N107" s="42">
        <v>42750</v>
      </c>
      <c r="O107" s="42">
        <v>6000</v>
      </c>
      <c r="P107" s="42"/>
      <c r="Q107" s="42"/>
      <c r="R107" s="41"/>
      <c r="S107" s="41"/>
      <c r="T107" s="41"/>
      <c r="U107" s="16">
        <f t="shared" si="23"/>
        <v>0</v>
      </c>
      <c r="V107" s="45" t="e">
        <f t="shared" si="19"/>
        <v>#DIV/0!</v>
      </c>
    </row>
    <row r="108" spans="1:22" x14ac:dyDescent="0.2">
      <c r="A108" s="3">
        <v>701406</v>
      </c>
      <c r="B108" s="3" t="s">
        <v>345</v>
      </c>
      <c r="C108" s="57">
        <v>721152</v>
      </c>
      <c r="D108" s="57" t="s">
        <v>187</v>
      </c>
      <c r="E108" s="22"/>
      <c r="F108" s="22"/>
      <c r="G108" s="22"/>
      <c r="H108" s="22"/>
      <c r="I108" s="22"/>
      <c r="J108" s="22">
        <v>27172.5</v>
      </c>
      <c r="K108" s="22">
        <v>46579.12</v>
      </c>
      <c r="L108" s="22">
        <v>22850</v>
      </c>
      <c r="M108" s="22"/>
      <c r="N108" s="22"/>
      <c r="O108" s="22"/>
      <c r="P108" s="22"/>
      <c r="Q108" s="22"/>
      <c r="R108" s="41"/>
      <c r="S108" s="41"/>
      <c r="T108" s="41"/>
      <c r="U108" s="16">
        <f t="shared" si="23"/>
        <v>0</v>
      </c>
      <c r="V108" s="45" t="e">
        <f t="shared" si="19"/>
        <v>#DIV/0!</v>
      </c>
    </row>
    <row r="109" spans="1:22" x14ac:dyDescent="0.2">
      <c r="A109" s="3">
        <v>701405</v>
      </c>
      <c r="B109" s="3" t="s">
        <v>344</v>
      </c>
      <c r="C109" s="1">
        <v>721160</v>
      </c>
      <c r="D109" s="1" t="s">
        <v>88</v>
      </c>
      <c r="R109" s="41"/>
      <c r="S109" s="41"/>
      <c r="T109" s="41"/>
      <c r="U109" s="16">
        <f t="shared" si="23"/>
        <v>0</v>
      </c>
      <c r="V109" s="45" t="e">
        <f t="shared" si="19"/>
        <v>#DIV/0!</v>
      </c>
    </row>
    <row r="110" spans="1:22" x14ac:dyDescent="0.2">
      <c r="A110" s="3">
        <v>701500</v>
      </c>
      <c r="B110" s="3" t="s">
        <v>346</v>
      </c>
      <c r="C110" s="1">
        <v>722100</v>
      </c>
      <c r="D110" s="1" t="s">
        <v>89</v>
      </c>
      <c r="E110" s="22"/>
      <c r="F110" s="22"/>
      <c r="G110" s="22"/>
      <c r="H110" s="22"/>
      <c r="I110" s="22"/>
      <c r="J110" s="22">
        <v>420</v>
      </c>
      <c r="K110" s="22">
        <v>870</v>
      </c>
      <c r="L110" s="22">
        <v>100</v>
      </c>
      <c r="M110" s="22"/>
      <c r="N110" s="42">
        <v>340</v>
      </c>
      <c r="O110" s="42">
        <v>500</v>
      </c>
      <c r="P110" s="42"/>
      <c r="Q110" s="42"/>
      <c r="R110" s="41"/>
      <c r="S110" s="41">
        <v>2496</v>
      </c>
      <c r="T110" s="41">
        <v>39770.74</v>
      </c>
      <c r="U110" s="16">
        <f t="shared" si="23"/>
        <v>37274.74</v>
      </c>
      <c r="V110" s="45">
        <f t="shared" si="19"/>
        <v>14.933790064102563</v>
      </c>
    </row>
    <row r="111" spans="1:22" x14ac:dyDescent="0.2">
      <c r="A111" s="3">
        <v>701501</v>
      </c>
      <c r="B111" s="3" t="s">
        <v>90</v>
      </c>
      <c r="C111" s="1">
        <v>722105</v>
      </c>
      <c r="D111" s="1" t="s">
        <v>90</v>
      </c>
      <c r="R111" s="41"/>
      <c r="S111" s="41"/>
      <c r="T111" s="41"/>
      <c r="U111" s="16">
        <f t="shared" si="23"/>
        <v>0</v>
      </c>
      <c r="V111" s="45" t="e">
        <f t="shared" si="19"/>
        <v>#DIV/0!</v>
      </c>
    </row>
    <row r="112" spans="1:22" x14ac:dyDescent="0.2">
      <c r="A112" s="3">
        <v>701502</v>
      </c>
      <c r="B112" s="3" t="s">
        <v>91</v>
      </c>
      <c r="C112" s="1">
        <v>722110</v>
      </c>
      <c r="D112" s="1" t="s">
        <v>91</v>
      </c>
      <c r="R112" s="41"/>
      <c r="S112" s="41"/>
      <c r="T112" s="41"/>
      <c r="U112" s="16">
        <f t="shared" si="23"/>
        <v>0</v>
      </c>
      <c r="V112" s="45" t="e">
        <f t="shared" si="19"/>
        <v>#DIV/0!</v>
      </c>
    </row>
    <row r="113" spans="1:22" x14ac:dyDescent="0.2">
      <c r="A113" s="3">
        <v>701600</v>
      </c>
      <c r="B113" s="3" t="s">
        <v>92</v>
      </c>
      <c r="C113" s="1">
        <v>723100</v>
      </c>
      <c r="D113" s="1" t="s">
        <v>92</v>
      </c>
      <c r="R113" s="41"/>
      <c r="S113" s="41"/>
      <c r="T113" s="41"/>
      <c r="U113" s="16">
        <f t="shared" si="23"/>
        <v>0</v>
      </c>
      <c r="V113" s="45" t="e">
        <f t="shared" si="19"/>
        <v>#DIV/0!</v>
      </c>
    </row>
    <row r="114" spans="1:22" x14ac:dyDescent="0.2">
      <c r="A114" s="3">
        <v>701601</v>
      </c>
      <c r="B114" s="3" t="s">
        <v>267</v>
      </c>
      <c r="C114" s="57">
        <v>723110</v>
      </c>
      <c r="D114" s="57" t="s">
        <v>267</v>
      </c>
      <c r="E114" s="22">
        <v>44863.07</v>
      </c>
      <c r="F114" s="22">
        <v>42464.06</v>
      </c>
      <c r="G114" s="22">
        <v>62548.79</v>
      </c>
      <c r="H114" s="22">
        <v>43734.25</v>
      </c>
      <c r="I114" s="22">
        <v>50326.35</v>
      </c>
      <c r="J114" s="22">
        <v>60007.75</v>
      </c>
      <c r="K114" s="22">
        <v>82343.56</v>
      </c>
      <c r="L114" s="22">
        <v>88925.36</v>
      </c>
      <c r="M114" s="22">
        <v>58198.020000000004</v>
      </c>
      <c r="N114" s="42">
        <v>97654.01</v>
      </c>
      <c r="O114" s="42">
        <v>112846.94</v>
      </c>
      <c r="P114" s="42">
        <v>79293.55</v>
      </c>
      <c r="Q114" s="42">
        <v>70150.38</v>
      </c>
      <c r="R114" s="41">
        <v>88510.1</v>
      </c>
      <c r="S114" s="41">
        <v>104417.44</v>
      </c>
      <c r="T114" s="41">
        <v>111368.40000000001</v>
      </c>
      <c r="U114" s="16">
        <f t="shared" si="23"/>
        <v>6950.9600000000064</v>
      </c>
      <c r="V114" s="45">
        <f t="shared" si="19"/>
        <v>6.656895629695582E-2</v>
      </c>
    </row>
    <row r="115" spans="1:22" x14ac:dyDescent="0.2">
      <c r="A115" s="3">
        <v>701602</v>
      </c>
      <c r="B115" s="3" t="s">
        <v>93</v>
      </c>
      <c r="C115" s="1">
        <v>723120</v>
      </c>
      <c r="D115" s="1" t="s">
        <v>93</v>
      </c>
      <c r="R115" s="41"/>
      <c r="S115" s="41"/>
      <c r="T115" s="41"/>
      <c r="U115" s="16">
        <f t="shared" si="23"/>
        <v>0</v>
      </c>
      <c r="V115" s="45" t="e">
        <f t="shared" si="19"/>
        <v>#DIV/0!</v>
      </c>
    </row>
    <row r="116" spans="1:22" x14ac:dyDescent="0.2">
      <c r="A116" s="3">
        <v>701603</v>
      </c>
      <c r="B116" s="3" t="s">
        <v>94</v>
      </c>
      <c r="C116" s="1">
        <v>723130</v>
      </c>
      <c r="D116" s="1" t="s">
        <v>94</v>
      </c>
      <c r="E116" s="22"/>
      <c r="F116" s="22"/>
      <c r="G116" s="22">
        <v>225</v>
      </c>
      <c r="H116" s="22"/>
      <c r="I116" s="22"/>
      <c r="J116" s="22">
        <v>4130</v>
      </c>
      <c r="K116" s="22">
        <v>-3691</v>
      </c>
      <c r="L116" s="22">
        <v>2015</v>
      </c>
      <c r="M116" s="22">
        <v>154.95000000000002</v>
      </c>
      <c r="N116" s="42">
        <v>2476.6</v>
      </c>
      <c r="O116" s="22"/>
      <c r="P116" s="22">
        <v>5600</v>
      </c>
      <c r="Q116" s="42">
        <v>3659.64</v>
      </c>
      <c r="R116" s="41">
        <v>10115.14</v>
      </c>
      <c r="S116" s="41">
        <v>4314.47</v>
      </c>
      <c r="T116" s="41">
        <v>5685.7300000000005</v>
      </c>
      <c r="U116" s="16">
        <f t="shared" si="23"/>
        <v>1371.2600000000002</v>
      </c>
      <c r="V116" s="45">
        <f t="shared" si="19"/>
        <v>0.31782814575139012</v>
      </c>
    </row>
    <row r="117" spans="1:22" x14ac:dyDescent="0.2">
      <c r="A117" s="3">
        <v>705101</v>
      </c>
      <c r="B117" s="3" t="s">
        <v>361</v>
      </c>
      <c r="C117" s="57">
        <v>731105</v>
      </c>
      <c r="D117" s="57" t="s">
        <v>189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42">
        <v>1558.28</v>
      </c>
      <c r="O117" s="22"/>
      <c r="P117" s="22"/>
      <c r="Q117" s="22"/>
      <c r="R117" s="41">
        <v>180</v>
      </c>
      <c r="S117" s="41"/>
      <c r="T117" s="41"/>
      <c r="U117" s="16">
        <f t="shared" si="23"/>
        <v>0</v>
      </c>
      <c r="V117" s="45" t="e">
        <f t="shared" si="19"/>
        <v>#DIV/0!</v>
      </c>
    </row>
    <row r="118" spans="1:22" x14ac:dyDescent="0.2">
      <c r="A118" s="3">
        <v>705102</v>
      </c>
      <c r="B118" s="3" t="s">
        <v>362</v>
      </c>
      <c r="C118" s="1">
        <v>731205</v>
      </c>
      <c r="D118" s="1" t="s">
        <v>95</v>
      </c>
      <c r="R118" s="41"/>
      <c r="S118" s="41"/>
      <c r="T118" s="41"/>
      <c r="U118" s="16">
        <f t="shared" si="23"/>
        <v>0</v>
      </c>
      <c r="V118" s="45" t="e">
        <f t="shared" si="19"/>
        <v>#DIV/0!</v>
      </c>
    </row>
    <row r="119" spans="1:22" x14ac:dyDescent="0.2">
      <c r="A119" s="3">
        <v>705000</v>
      </c>
      <c r="B119" s="3" t="s">
        <v>356</v>
      </c>
      <c r="C119" s="1">
        <v>732100</v>
      </c>
      <c r="D119" s="1" t="s">
        <v>96</v>
      </c>
      <c r="E119" s="22"/>
      <c r="F119" s="22"/>
      <c r="G119" s="22"/>
      <c r="H119" s="22"/>
      <c r="I119" s="22"/>
      <c r="J119" s="22"/>
      <c r="K119" s="22"/>
      <c r="L119" s="22"/>
      <c r="M119" s="22">
        <v>129</v>
      </c>
      <c r="N119" s="22"/>
      <c r="O119" s="42">
        <v>110</v>
      </c>
      <c r="P119" s="42"/>
      <c r="Q119" s="42">
        <v>-150</v>
      </c>
      <c r="R119" s="41">
        <v>154.1</v>
      </c>
      <c r="S119" s="41"/>
      <c r="T119" s="41"/>
      <c r="U119" s="16">
        <f t="shared" si="23"/>
        <v>0</v>
      </c>
      <c r="V119" s="45" t="e">
        <f t="shared" si="19"/>
        <v>#DIV/0!</v>
      </c>
    </row>
    <row r="120" spans="1:22" x14ac:dyDescent="0.2">
      <c r="A120" s="72">
        <v>705001</v>
      </c>
      <c r="B120" s="72" t="s">
        <v>357</v>
      </c>
      <c r="C120" s="72">
        <v>731100</v>
      </c>
      <c r="D120" s="72" t="s">
        <v>188</v>
      </c>
      <c r="E120" s="22"/>
      <c r="F120" s="22"/>
      <c r="G120" s="22"/>
      <c r="H120" s="22"/>
      <c r="I120" s="22"/>
      <c r="J120" s="22"/>
      <c r="K120" s="22"/>
      <c r="L120" s="22"/>
      <c r="M120" s="22"/>
      <c r="N120" s="22"/>
      <c r="O120" s="42"/>
      <c r="P120" s="42"/>
      <c r="Q120" s="42"/>
      <c r="R120" s="41"/>
      <c r="S120" s="41">
        <v>475</v>
      </c>
      <c r="T120" s="41"/>
      <c r="U120" s="16">
        <f t="shared" si="23"/>
        <v>-475</v>
      </c>
      <c r="V120" s="45">
        <f t="shared" si="19"/>
        <v>-1</v>
      </c>
    </row>
    <row r="121" spans="1:22" x14ac:dyDescent="0.2">
      <c r="A121" s="3">
        <v>705100</v>
      </c>
      <c r="B121" s="3" t="s">
        <v>360</v>
      </c>
      <c r="C121" s="1">
        <v>732105</v>
      </c>
      <c r="D121" s="1" t="s">
        <v>97</v>
      </c>
      <c r="E121" s="22"/>
      <c r="F121" s="22"/>
      <c r="G121" s="22"/>
      <c r="H121" s="22">
        <v>2836.6</v>
      </c>
      <c r="I121" s="22">
        <v>8557.99</v>
      </c>
      <c r="J121" s="22">
        <v>6442.16</v>
      </c>
      <c r="K121" s="22">
        <v>9982.6299999999992</v>
      </c>
      <c r="L121" s="22">
        <v>11854.2</v>
      </c>
      <c r="M121" s="22">
        <v>9424.5</v>
      </c>
      <c r="N121" s="42">
        <v>13168.190000000002</v>
      </c>
      <c r="O121" s="42">
        <v>2465.85</v>
      </c>
      <c r="P121" s="42">
        <v>106.10000000000001</v>
      </c>
      <c r="Q121" s="42">
        <v>1194.71</v>
      </c>
      <c r="R121" s="41">
        <v>4940.5700000000006</v>
      </c>
      <c r="S121" s="41">
        <v>8572.58</v>
      </c>
      <c r="T121" s="41">
        <v>173.1</v>
      </c>
      <c r="U121" s="16">
        <f t="shared" si="23"/>
        <v>-8399.48</v>
      </c>
      <c r="V121" s="45">
        <f t="shared" si="19"/>
        <v>-0.97980771249728782</v>
      </c>
    </row>
    <row r="122" spans="1:22" x14ac:dyDescent="0.2">
      <c r="A122" s="3">
        <v>705300</v>
      </c>
      <c r="B122" s="3" t="s">
        <v>98</v>
      </c>
      <c r="C122" s="1">
        <v>732110</v>
      </c>
      <c r="D122" s="1" t="s">
        <v>98</v>
      </c>
      <c r="E122" s="22"/>
      <c r="F122" s="22"/>
      <c r="G122" s="22">
        <v>5953</v>
      </c>
      <c r="H122" s="22"/>
      <c r="I122" s="22"/>
      <c r="J122" s="22"/>
      <c r="K122" s="22">
        <v>11750</v>
      </c>
      <c r="L122" s="22">
        <v>3580.3</v>
      </c>
      <c r="M122" s="22">
        <v>273</v>
      </c>
      <c r="N122" s="42">
        <v>842.86</v>
      </c>
      <c r="O122" s="42"/>
      <c r="P122" s="42"/>
      <c r="Q122" s="42"/>
      <c r="R122" s="41"/>
      <c r="S122" s="41"/>
      <c r="T122" s="41"/>
      <c r="U122" s="16">
        <f t="shared" si="23"/>
        <v>0</v>
      </c>
      <c r="V122" s="45" t="e">
        <f t="shared" si="19"/>
        <v>#DIV/0!</v>
      </c>
    </row>
    <row r="123" spans="1:22" x14ac:dyDescent="0.2">
      <c r="A123" s="3">
        <v>705500</v>
      </c>
      <c r="B123" s="3" t="s">
        <v>363</v>
      </c>
      <c r="C123" s="1">
        <v>732115</v>
      </c>
      <c r="D123" s="1" t="s">
        <v>99</v>
      </c>
      <c r="P123" s="3">
        <v>379.08</v>
      </c>
      <c r="R123" s="41"/>
      <c r="S123" s="41"/>
      <c r="T123" s="41"/>
      <c r="U123" s="16">
        <f t="shared" si="23"/>
        <v>0</v>
      </c>
      <c r="V123" s="45" t="e">
        <f t="shared" si="19"/>
        <v>#DIV/0!</v>
      </c>
    </row>
    <row r="124" spans="1:22" x14ac:dyDescent="0.2">
      <c r="A124" s="3">
        <v>705003</v>
      </c>
      <c r="B124" s="3" t="s">
        <v>359</v>
      </c>
      <c r="C124" s="1">
        <v>732200</v>
      </c>
      <c r="D124" s="1" t="s">
        <v>100</v>
      </c>
      <c r="O124" s="51">
        <v>511.49</v>
      </c>
      <c r="P124" s="51"/>
      <c r="Q124" s="51"/>
      <c r="R124" s="41"/>
      <c r="S124" s="41"/>
      <c r="T124" s="41"/>
      <c r="U124" s="16">
        <f t="shared" si="23"/>
        <v>0</v>
      </c>
      <c r="V124" s="45" t="e">
        <f t="shared" si="19"/>
        <v>#DIV/0!</v>
      </c>
    </row>
    <row r="125" spans="1:22" x14ac:dyDescent="0.2">
      <c r="A125" s="3">
        <v>705103</v>
      </c>
      <c r="B125" s="3" t="s">
        <v>440</v>
      </c>
      <c r="C125" s="1">
        <v>732205</v>
      </c>
      <c r="D125" s="1" t="s">
        <v>101</v>
      </c>
      <c r="R125" s="41"/>
      <c r="S125" s="41"/>
      <c r="T125" s="41"/>
      <c r="U125" s="16">
        <f t="shared" si="23"/>
        <v>0</v>
      </c>
      <c r="V125" s="45" t="e">
        <f t="shared" si="19"/>
        <v>#DIV/0!</v>
      </c>
    </row>
    <row r="126" spans="1:22" x14ac:dyDescent="0.2">
      <c r="A126" s="3">
        <v>705801</v>
      </c>
      <c r="B126" s="3" t="s">
        <v>365</v>
      </c>
      <c r="C126" s="1">
        <v>732210</v>
      </c>
      <c r="D126" s="1" t="s">
        <v>102</v>
      </c>
      <c r="R126" s="41"/>
      <c r="S126" s="41"/>
      <c r="T126" s="41"/>
      <c r="U126" s="16">
        <f t="shared" si="23"/>
        <v>0</v>
      </c>
      <c r="V126" s="45" t="e">
        <f t="shared" si="19"/>
        <v>#DIV/0!</v>
      </c>
    </row>
    <row r="127" spans="1:22" x14ac:dyDescent="0.2">
      <c r="A127" s="3">
        <v>705003</v>
      </c>
      <c r="B127" s="3" t="s">
        <v>359</v>
      </c>
      <c r="C127" s="1">
        <v>732215</v>
      </c>
      <c r="D127" s="1" t="s">
        <v>103</v>
      </c>
      <c r="R127" s="41"/>
      <c r="S127" s="41"/>
      <c r="T127" s="41"/>
      <c r="U127" s="16">
        <f t="shared" si="23"/>
        <v>0</v>
      </c>
      <c r="V127" s="45" t="e">
        <f t="shared" si="19"/>
        <v>#DIV/0!</v>
      </c>
    </row>
    <row r="128" spans="1:22" x14ac:dyDescent="0.2">
      <c r="A128" s="3">
        <v>705300</v>
      </c>
      <c r="B128" s="3" t="s">
        <v>98</v>
      </c>
      <c r="C128" s="1">
        <v>732225</v>
      </c>
      <c r="D128" s="1" t="s">
        <v>104</v>
      </c>
      <c r="R128" s="41"/>
      <c r="S128" s="41"/>
      <c r="T128" s="41"/>
      <c r="U128" s="16">
        <f t="shared" si="23"/>
        <v>0</v>
      </c>
      <c r="V128" s="45" t="e">
        <f t="shared" si="19"/>
        <v>#DIV/0!</v>
      </c>
    </row>
    <row r="129" spans="1:22" x14ac:dyDescent="0.2">
      <c r="A129" s="3">
        <v>705800</v>
      </c>
      <c r="B129" s="3" t="s">
        <v>364</v>
      </c>
      <c r="C129" s="1">
        <v>732300</v>
      </c>
      <c r="D129" s="1" t="s">
        <v>105</v>
      </c>
      <c r="R129" s="41"/>
      <c r="S129" s="41"/>
      <c r="T129" s="41"/>
      <c r="U129" s="16">
        <f t="shared" si="23"/>
        <v>0</v>
      </c>
      <c r="V129" s="45" t="e">
        <f t="shared" si="19"/>
        <v>#DIV/0!</v>
      </c>
    </row>
    <row r="130" spans="1:22" x14ac:dyDescent="0.2">
      <c r="A130" s="3">
        <v>706007</v>
      </c>
      <c r="B130" s="3" t="s">
        <v>371</v>
      </c>
      <c r="C130" s="1">
        <v>741100</v>
      </c>
      <c r="D130" s="1" t="s">
        <v>106</v>
      </c>
      <c r="R130" s="41"/>
      <c r="S130" s="41"/>
      <c r="T130" s="41"/>
      <c r="U130" s="16">
        <f t="shared" si="23"/>
        <v>0</v>
      </c>
      <c r="V130" s="45" t="e">
        <f t="shared" si="19"/>
        <v>#DIV/0!</v>
      </c>
    </row>
    <row r="131" spans="1:22" x14ac:dyDescent="0.2">
      <c r="A131" s="3">
        <v>706000</v>
      </c>
      <c r="B131" s="3" t="s">
        <v>366</v>
      </c>
      <c r="C131" s="1">
        <v>741110</v>
      </c>
      <c r="D131" s="1" t="s">
        <v>107</v>
      </c>
      <c r="R131" s="41"/>
      <c r="S131" s="41"/>
      <c r="T131" s="41"/>
      <c r="U131" s="16">
        <f t="shared" si="23"/>
        <v>0</v>
      </c>
      <c r="V131" s="45" t="e">
        <f t="shared" si="19"/>
        <v>#DIV/0!</v>
      </c>
    </row>
    <row r="132" spans="1:22" x14ac:dyDescent="0.2">
      <c r="A132" s="3">
        <v>706100</v>
      </c>
      <c r="B132" s="3" t="s">
        <v>372</v>
      </c>
      <c r="C132" s="1">
        <v>742120</v>
      </c>
      <c r="D132" s="1" t="s">
        <v>108</v>
      </c>
      <c r="N132" s="42">
        <v>14.26</v>
      </c>
      <c r="R132" s="41"/>
      <c r="S132" s="41"/>
      <c r="T132" s="41"/>
      <c r="U132" s="16">
        <f t="shared" si="23"/>
        <v>0</v>
      </c>
      <c r="V132" s="45" t="e">
        <f t="shared" si="19"/>
        <v>#DIV/0!</v>
      </c>
    </row>
    <row r="133" spans="1:22" x14ac:dyDescent="0.2">
      <c r="A133" s="3">
        <v>706200</v>
      </c>
      <c r="B133" s="3" t="s">
        <v>374</v>
      </c>
      <c r="C133" s="1">
        <v>743100</v>
      </c>
      <c r="D133" s="1" t="s">
        <v>109</v>
      </c>
      <c r="R133"/>
      <c r="S133"/>
      <c r="T133" s="78"/>
      <c r="U133" s="16">
        <f t="shared" si="23"/>
        <v>0</v>
      </c>
      <c r="V133" s="45" t="e">
        <f t="shared" si="19"/>
        <v>#DIV/0!</v>
      </c>
    </row>
    <row r="134" spans="1:22" x14ac:dyDescent="0.2">
      <c r="A134" s="3">
        <v>706200</v>
      </c>
      <c r="B134" s="3" t="s">
        <v>374</v>
      </c>
      <c r="C134" s="1">
        <v>743200</v>
      </c>
      <c r="D134" s="1" t="s">
        <v>110</v>
      </c>
      <c r="R134"/>
      <c r="S134"/>
      <c r="T134" s="78"/>
      <c r="U134" s="16">
        <f t="shared" si="23"/>
        <v>0</v>
      </c>
      <c r="V134" s="45" t="e">
        <f t="shared" si="19"/>
        <v>#DIV/0!</v>
      </c>
    </row>
    <row r="135" spans="1:22" x14ac:dyDescent="0.2">
      <c r="A135" s="3">
        <v>706202</v>
      </c>
      <c r="B135" s="3" t="s">
        <v>375</v>
      </c>
      <c r="C135" s="1">
        <v>743300</v>
      </c>
      <c r="D135" s="1" t="s">
        <v>111</v>
      </c>
      <c r="R135"/>
      <c r="S135"/>
      <c r="T135" s="78"/>
      <c r="U135" s="16">
        <f t="shared" si="23"/>
        <v>0</v>
      </c>
      <c r="V135" s="45" t="e">
        <f t="shared" si="19"/>
        <v>#DIV/0!</v>
      </c>
    </row>
    <row r="136" spans="1:22" x14ac:dyDescent="0.2">
      <c r="A136" s="3">
        <v>706203</v>
      </c>
      <c r="B136" s="3" t="s">
        <v>376</v>
      </c>
      <c r="C136" s="1">
        <v>743400</v>
      </c>
      <c r="D136" s="1" t="s">
        <v>112</v>
      </c>
      <c r="R136"/>
      <c r="S136"/>
      <c r="T136" s="78"/>
      <c r="U136" s="16">
        <f t="shared" si="23"/>
        <v>0</v>
      </c>
      <c r="V136" s="45" t="e">
        <f t="shared" si="19"/>
        <v>#DIV/0!</v>
      </c>
    </row>
    <row r="137" spans="1:22" x14ac:dyDescent="0.2">
      <c r="A137" s="3">
        <v>706204</v>
      </c>
      <c r="B137" s="3" t="s">
        <v>377</v>
      </c>
      <c r="C137" s="1">
        <v>743500</v>
      </c>
      <c r="D137" s="1" t="s">
        <v>113</v>
      </c>
      <c r="R137"/>
      <c r="S137"/>
      <c r="T137" s="78"/>
      <c r="U137" s="16">
        <f t="shared" si="23"/>
        <v>0</v>
      </c>
      <c r="V137" s="45" t="e">
        <f t="shared" si="19"/>
        <v>#DIV/0!</v>
      </c>
    </row>
    <row r="138" spans="1:22" x14ac:dyDescent="0.2">
      <c r="A138" s="3">
        <v>706300</v>
      </c>
      <c r="B138" s="3" t="s">
        <v>378</v>
      </c>
      <c r="C138" s="1">
        <v>744100</v>
      </c>
      <c r="D138" s="1" t="s">
        <v>114</v>
      </c>
      <c r="R138"/>
      <c r="S138"/>
      <c r="T138" s="78"/>
      <c r="U138" s="16">
        <f t="shared" si="23"/>
        <v>0</v>
      </c>
      <c r="V138" s="45" t="e">
        <f t="shared" si="19"/>
        <v>#DIV/0!</v>
      </c>
    </row>
    <row r="139" spans="1:22" x14ac:dyDescent="0.2">
      <c r="A139" s="3">
        <v>706300</v>
      </c>
      <c r="B139" s="3" t="s">
        <v>378</v>
      </c>
      <c r="C139" s="1">
        <v>744110</v>
      </c>
      <c r="D139" s="1" t="s">
        <v>115</v>
      </c>
      <c r="R139"/>
      <c r="S139"/>
      <c r="T139" s="78"/>
      <c r="U139" s="16">
        <f t="shared" si="23"/>
        <v>0</v>
      </c>
      <c r="V139" s="45" t="e">
        <f t="shared" si="19"/>
        <v>#DIV/0!</v>
      </c>
    </row>
    <row r="140" spans="1:22" x14ac:dyDescent="0.2">
      <c r="A140" s="3">
        <v>706301</v>
      </c>
      <c r="B140" s="3" t="s">
        <v>379</v>
      </c>
      <c r="C140" s="1">
        <v>744115</v>
      </c>
      <c r="D140" s="1" t="s">
        <v>116</v>
      </c>
      <c r="R140"/>
      <c r="S140"/>
      <c r="T140" s="78"/>
      <c r="U140" s="16">
        <f t="shared" si="23"/>
        <v>0</v>
      </c>
      <c r="V140" s="45" t="e">
        <f t="shared" si="19"/>
        <v>#DIV/0!</v>
      </c>
    </row>
    <row r="141" spans="1:22" x14ac:dyDescent="0.2">
      <c r="A141" s="3">
        <v>706302</v>
      </c>
      <c r="B141" s="3" t="s">
        <v>380</v>
      </c>
      <c r="C141" s="1">
        <v>744125</v>
      </c>
      <c r="D141" s="1" t="s">
        <v>117</v>
      </c>
      <c r="R141"/>
      <c r="S141"/>
      <c r="T141" s="78"/>
      <c r="U141" s="16">
        <f t="shared" si="23"/>
        <v>0</v>
      </c>
      <c r="V141" s="45" t="e">
        <f t="shared" si="19"/>
        <v>#DIV/0!</v>
      </c>
    </row>
    <row r="142" spans="1:22" x14ac:dyDescent="0.2">
      <c r="A142" s="3">
        <v>706400</v>
      </c>
      <c r="B142" s="3" t="s">
        <v>381</v>
      </c>
      <c r="C142" s="1">
        <v>744130</v>
      </c>
      <c r="D142" s="1" t="s">
        <v>118</v>
      </c>
      <c r="R142"/>
      <c r="S142"/>
      <c r="T142" s="78"/>
      <c r="U142" s="16">
        <f t="shared" si="23"/>
        <v>0</v>
      </c>
      <c r="V142" s="45" t="e">
        <f t="shared" ref="V142:V205" si="24">U142/S142</f>
        <v>#DIV/0!</v>
      </c>
    </row>
    <row r="143" spans="1:22" x14ac:dyDescent="0.2">
      <c r="A143" s="3">
        <v>706400</v>
      </c>
      <c r="B143" s="3" t="s">
        <v>381</v>
      </c>
      <c r="C143" s="1">
        <v>744135</v>
      </c>
      <c r="D143" s="1" t="s">
        <v>119</v>
      </c>
      <c r="R143"/>
      <c r="S143"/>
      <c r="T143" s="78"/>
      <c r="U143" s="16">
        <f t="shared" si="23"/>
        <v>0</v>
      </c>
      <c r="V143" s="45" t="e">
        <f t="shared" si="24"/>
        <v>#DIV/0!</v>
      </c>
    </row>
    <row r="144" spans="1:22" x14ac:dyDescent="0.2">
      <c r="A144" s="3">
        <v>706504</v>
      </c>
      <c r="B144" s="3" t="s">
        <v>385</v>
      </c>
      <c r="C144" s="1">
        <v>744140</v>
      </c>
      <c r="D144" s="1" t="s">
        <v>120</v>
      </c>
      <c r="R144"/>
      <c r="S144"/>
      <c r="T144" s="78"/>
      <c r="U144" s="16">
        <f t="shared" si="23"/>
        <v>0</v>
      </c>
      <c r="V144" s="45" t="e">
        <f t="shared" si="24"/>
        <v>#DIV/0!</v>
      </c>
    </row>
    <row r="145" spans="1:22" x14ac:dyDescent="0.2">
      <c r="A145" s="3">
        <v>706700</v>
      </c>
      <c r="B145" s="3" t="s">
        <v>390</v>
      </c>
      <c r="C145" s="1">
        <v>745100</v>
      </c>
      <c r="D145" s="1" t="s">
        <v>121</v>
      </c>
      <c r="R145"/>
      <c r="S145"/>
      <c r="T145" s="78"/>
      <c r="U145" s="16">
        <f t="shared" ref="U145:U204" si="25">T145-S145</f>
        <v>0</v>
      </c>
      <c r="V145" s="45" t="e">
        <f t="shared" si="24"/>
        <v>#DIV/0!</v>
      </c>
    </row>
    <row r="146" spans="1:22" x14ac:dyDescent="0.2">
      <c r="A146" s="3">
        <v>706605</v>
      </c>
      <c r="B146" s="3" t="s">
        <v>389</v>
      </c>
      <c r="C146" s="1">
        <v>745105</v>
      </c>
      <c r="D146" s="1" t="s">
        <v>122</v>
      </c>
      <c r="E146" s="22"/>
      <c r="F146" s="22"/>
      <c r="G146" s="22">
        <v>500</v>
      </c>
      <c r="H146" s="22">
        <v>804.6</v>
      </c>
      <c r="I146" s="22"/>
      <c r="J146" s="22">
        <v>1973.5</v>
      </c>
      <c r="K146" s="22">
        <v>10421.740000000002</v>
      </c>
      <c r="L146" s="22"/>
      <c r="M146" s="22">
        <v>7162.17</v>
      </c>
      <c r="N146" s="42">
        <v>4300.04</v>
      </c>
      <c r="O146" s="22"/>
      <c r="P146" s="22">
        <v>1370.75</v>
      </c>
      <c r="Q146" s="22"/>
      <c r="R146" s="41">
        <v>387.69</v>
      </c>
      <c r="S146" s="41">
        <v>1268.3400000000001</v>
      </c>
      <c r="T146" s="41">
        <v>30375</v>
      </c>
      <c r="U146" s="16">
        <f t="shared" si="25"/>
        <v>29106.66</v>
      </c>
      <c r="V146" s="45">
        <f t="shared" si="24"/>
        <v>22.948625762808078</v>
      </c>
    </row>
    <row r="147" spans="1:22" x14ac:dyDescent="0.2">
      <c r="A147" s="3">
        <v>706605</v>
      </c>
      <c r="B147" s="3" t="s">
        <v>389</v>
      </c>
      <c r="C147" s="1">
        <v>745110</v>
      </c>
      <c r="D147" s="1" t="s">
        <v>123</v>
      </c>
      <c r="R147" s="41"/>
      <c r="S147" s="41"/>
      <c r="T147" s="41"/>
      <c r="U147" s="16">
        <f t="shared" si="25"/>
        <v>0</v>
      </c>
      <c r="V147" s="45" t="e">
        <f t="shared" si="24"/>
        <v>#DIV/0!</v>
      </c>
    </row>
    <row r="148" spans="1:22" x14ac:dyDescent="0.2">
      <c r="A148" s="3">
        <v>706601</v>
      </c>
      <c r="B148" s="3" t="s">
        <v>387</v>
      </c>
      <c r="C148" s="1">
        <v>745115</v>
      </c>
      <c r="D148" s="1" t="s">
        <v>124</v>
      </c>
      <c r="R148" s="41"/>
      <c r="S148" s="41"/>
      <c r="T148" s="41"/>
      <c r="U148" s="16">
        <f t="shared" si="25"/>
        <v>0</v>
      </c>
      <c r="V148" s="45" t="e">
        <f t="shared" si="24"/>
        <v>#DIV/0!</v>
      </c>
    </row>
    <row r="149" spans="1:22" x14ac:dyDescent="0.2">
      <c r="A149" s="3">
        <v>707001</v>
      </c>
      <c r="B149" s="3" t="s">
        <v>392</v>
      </c>
      <c r="C149" s="1">
        <v>751100</v>
      </c>
      <c r="D149" s="1" t="s">
        <v>125</v>
      </c>
      <c r="E149" s="22"/>
      <c r="F149" s="22"/>
      <c r="G149" s="22"/>
      <c r="H149" s="22"/>
      <c r="I149" s="22"/>
      <c r="J149" s="22"/>
      <c r="K149" s="22"/>
      <c r="L149" s="22">
        <v>399</v>
      </c>
      <c r="M149" s="22"/>
      <c r="N149" s="22"/>
      <c r="O149" s="22"/>
      <c r="P149" s="22"/>
      <c r="Q149" s="22"/>
      <c r="R149" s="41"/>
      <c r="S149" s="41"/>
      <c r="T149" s="41">
        <v>46702</v>
      </c>
      <c r="U149" s="16">
        <f t="shared" si="25"/>
        <v>46702</v>
      </c>
      <c r="V149" s="45" t="e">
        <f t="shared" si="24"/>
        <v>#DIV/0!</v>
      </c>
    </row>
    <row r="150" spans="1:22" x14ac:dyDescent="0.2">
      <c r="A150" s="3">
        <v>707000</v>
      </c>
      <c r="B150" s="3" t="s">
        <v>391</v>
      </c>
      <c r="C150" s="1">
        <v>751110</v>
      </c>
      <c r="D150" s="1" t="s">
        <v>126</v>
      </c>
      <c r="N150" s="43">
        <v>25</v>
      </c>
      <c r="R150" s="41"/>
      <c r="S150" s="41"/>
      <c r="T150" s="41"/>
      <c r="U150" s="16">
        <f t="shared" si="25"/>
        <v>0</v>
      </c>
      <c r="V150" s="45" t="e">
        <f t="shared" si="24"/>
        <v>#DIV/0!</v>
      </c>
    </row>
    <row r="151" spans="1:22" x14ac:dyDescent="0.2">
      <c r="A151" s="3">
        <v>707101</v>
      </c>
      <c r="B151" s="3" t="s">
        <v>395</v>
      </c>
      <c r="C151" s="1">
        <v>752100</v>
      </c>
      <c r="D151" s="1" t="s">
        <v>127</v>
      </c>
      <c r="R151" s="41"/>
      <c r="S151" s="41"/>
      <c r="T151" s="41"/>
      <c r="U151" s="16">
        <f t="shared" si="25"/>
        <v>0</v>
      </c>
      <c r="V151" s="45" t="e">
        <f t="shared" si="24"/>
        <v>#DIV/0!</v>
      </c>
    </row>
    <row r="152" spans="1:22" x14ac:dyDescent="0.2">
      <c r="A152" s="3">
        <v>707100</v>
      </c>
      <c r="B152" s="3" t="s">
        <v>394</v>
      </c>
      <c r="C152" s="1">
        <v>752105</v>
      </c>
      <c r="D152" s="1" t="s">
        <v>128</v>
      </c>
      <c r="R152" s="41"/>
      <c r="S152" s="41"/>
      <c r="T152" s="41"/>
      <c r="U152" s="16">
        <f t="shared" si="25"/>
        <v>0</v>
      </c>
      <c r="V152" s="45" t="e">
        <f t="shared" si="24"/>
        <v>#DIV/0!</v>
      </c>
    </row>
    <row r="153" spans="1:22" x14ac:dyDescent="0.2">
      <c r="A153" s="3">
        <v>707100</v>
      </c>
      <c r="B153" s="3" t="s">
        <v>394</v>
      </c>
      <c r="C153" s="1">
        <v>752110</v>
      </c>
      <c r="D153" s="1" t="s">
        <v>129</v>
      </c>
      <c r="R153" s="41"/>
      <c r="S153" s="41"/>
      <c r="T153" s="41"/>
      <c r="U153" s="16">
        <f t="shared" si="25"/>
        <v>0</v>
      </c>
      <c r="V153" s="45" t="e">
        <f t="shared" si="24"/>
        <v>#DIV/0!</v>
      </c>
    </row>
    <row r="154" spans="1:22" x14ac:dyDescent="0.2">
      <c r="A154" s="3">
        <v>707101</v>
      </c>
      <c r="B154" s="3" t="s">
        <v>395</v>
      </c>
      <c r="C154" s="1">
        <v>752115</v>
      </c>
      <c r="D154" s="1" t="s">
        <v>130</v>
      </c>
      <c r="E154" s="22"/>
      <c r="F154" s="22"/>
      <c r="G154" s="22"/>
      <c r="H154" s="22"/>
      <c r="I154" s="22"/>
      <c r="J154" s="22"/>
      <c r="K154" s="22"/>
      <c r="L154" s="22"/>
      <c r="M154" s="22"/>
      <c r="N154" s="42">
        <v>120.27</v>
      </c>
      <c r="O154" s="22"/>
      <c r="P154" s="22"/>
      <c r="Q154" s="22"/>
      <c r="R154" s="41"/>
      <c r="S154" s="41"/>
      <c r="T154" s="41"/>
      <c r="U154" s="16">
        <f t="shared" si="25"/>
        <v>0</v>
      </c>
      <c r="V154" s="45" t="e">
        <f t="shared" si="24"/>
        <v>#DIV/0!</v>
      </c>
    </row>
    <row r="155" spans="1:22" x14ac:dyDescent="0.2">
      <c r="A155" s="3">
        <v>707153</v>
      </c>
      <c r="B155" s="3" t="s">
        <v>399</v>
      </c>
      <c r="C155" s="1">
        <v>753100</v>
      </c>
      <c r="D155" s="1" t="s">
        <v>131</v>
      </c>
      <c r="R155" s="41"/>
      <c r="S155" s="41"/>
      <c r="T155" s="41"/>
      <c r="U155" s="16">
        <f t="shared" si="25"/>
        <v>0</v>
      </c>
      <c r="V155" s="45" t="e">
        <f t="shared" si="24"/>
        <v>#DIV/0!</v>
      </c>
    </row>
    <row r="156" spans="1:22" x14ac:dyDescent="0.2">
      <c r="A156" s="3">
        <v>707001</v>
      </c>
      <c r="B156" s="3" t="s">
        <v>392</v>
      </c>
      <c r="C156" s="1">
        <v>761100</v>
      </c>
      <c r="D156" s="1" t="s">
        <v>132</v>
      </c>
      <c r="R156" s="41"/>
      <c r="S156" s="41"/>
      <c r="T156" s="41"/>
      <c r="U156" s="16">
        <f t="shared" si="25"/>
        <v>0</v>
      </c>
      <c r="V156" s="45" t="e">
        <f t="shared" si="24"/>
        <v>#DIV/0!</v>
      </c>
    </row>
    <row r="157" spans="1:22" x14ac:dyDescent="0.2">
      <c r="A157" s="3">
        <v>707001</v>
      </c>
      <c r="B157" s="3" t="s">
        <v>392</v>
      </c>
      <c r="C157" s="1">
        <v>761104</v>
      </c>
      <c r="D157" s="1" t="s">
        <v>133</v>
      </c>
      <c r="R157" s="41"/>
      <c r="S157" s="41"/>
      <c r="T157" s="41"/>
      <c r="U157" s="16">
        <f t="shared" si="25"/>
        <v>0</v>
      </c>
      <c r="V157" s="45" t="e">
        <f t="shared" si="24"/>
        <v>#DIV/0!</v>
      </c>
    </row>
    <row r="158" spans="1:22" x14ac:dyDescent="0.2">
      <c r="A158" s="3">
        <v>707150</v>
      </c>
      <c r="B158" s="3" t="s">
        <v>396</v>
      </c>
      <c r="C158" s="1">
        <v>763105</v>
      </c>
      <c r="D158" s="1" t="s">
        <v>134</v>
      </c>
      <c r="R158" s="41"/>
      <c r="S158" s="41"/>
      <c r="T158" s="41"/>
      <c r="U158" s="16">
        <f t="shared" si="25"/>
        <v>0</v>
      </c>
      <c r="V158" s="45" t="e">
        <f t="shared" si="24"/>
        <v>#DIV/0!</v>
      </c>
    </row>
    <row r="159" spans="1:22" x14ac:dyDescent="0.2">
      <c r="A159" s="3">
        <v>707153</v>
      </c>
      <c r="B159" s="3" t="s">
        <v>399</v>
      </c>
      <c r="C159" s="1">
        <v>764100</v>
      </c>
      <c r="D159" s="1" t="s">
        <v>135</v>
      </c>
      <c r="R159" s="41"/>
      <c r="S159" s="41"/>
      <c r="T159" s="41"/>
      <c r="U159" s="16">
        <f t="shared" si="25"/>
        <v>0</v>
      </c>
      <c r="V159" s="45" t="e">
        <f t="shared" si="24"/>
        <v>#DIV/0!</v>
      </c>
    </row>
    <row r="160" spans="1:22" x14ac:dyDescent="0.2">
      <c r="A160" s="3">
        <v>707152</v>
      </c>
      <c r="B160" s="3" t="s">
        <v>398</v>
      </c>
      <c r="C160" s="1">
        <v>764104</v>
      </c>
      <c r="D160" s="1" t="s">
        <v>136</v>
      </c>
      <c r="R160" s="41"/>
      <c r="S160" s="41"/>
      <c r="T160" s="41"/>
      <c r="U160" s="16">
        <f t="shared" si="25"/>
        <v>0</v>
      </c>
      <c r="V160" s="45" t="e">
        <f t="shared" si="24"/>
        <v>#DIV/0!</v>
      </c>
    </row>
    <row r="161" spans="1:22" x14ac:dyDescent="0.2">
      <c r="A161" s="3">
        <v>707151</v>
      </c>
      <c r="B161" s="3" t="s">
        <v>397</v>
      </c>
      <c r="C161" s="1">
        <v>764110</v>
      </c>
      <c r="D161" s="1" t="s">
        <v>137</v>
      </c>
      <c r="R161" s="41"/>
      <c r="S161" s="41"/>
      <c r="T161" s="41"/>
      <c r="U161" s="16">
        <f t="shared" si="25"/>
        <v>0</v>
      </c>
      <c r="V161" s="45" t="e">
        <f t="shared" si="24"/>
        <v>#DIV/0!</v>
      </c>
    </row>
    <row r="162" spans="1:22" x14ac:dyDescent="0.2">
      <c r="A162" s="3">
        <v>707151</v>
      </c>
      <c r="B162" s="3" t="s">
        <v>397</v>
      </c>
      <c r="C162" s="1">
        <v>764120</v>
      </c>
      <c r="D162" s="1" t="s">
        <v>138</v>
      </c>
      <c r="R162" s="41"/>
      <c r="S162" s="41"/>
      <c r="T162" s="41"/>
      <c r="U162" s="16">
        <f t="shared" si="25"/>
        <v>0</v>
      </c>
      <c r="V162" s="45" t="e">
        <f t="shared" si="24"/>
        <v>#DIV/0!</v>
      </c>
    </row>
    <row r="163" spans="1:22" x14ac:dyDescent="0.2">
      <c r="C163" s="1">
        <v>764130</v>
      </c>
      <c r="D163" s="1" t="s">
        <v>139</v>
      </c>
      <c r="R163" s="41"/>
      <c r="S163" s="41"/>
      <c r="T163" s="41"/>
      <c r="U163" s="16">
        <f t="shared" si="25"/>
        <v>0</v>
      </c>
      <c r="V163" s="45" t="e">
        <f t="shared" si="24"/>
        <v>#DIV/0!</v>
      </c>
    </row>
    <row r="164" spans="1:22" x14ac:dyDescent="0.2">
      <c r="A164" s="3">
        <v>707151</v>
      </c>
      <c r="B164" s="3" t="s">
        <v>397</v>
      </c>
      <c r="C164" s="1">
        <v>764140</v>
      </c>
      <c r="D164" s="1" t="s">
        <v>140</v>
      </c>
      <c r="R164" s="41"/>
      <c r="S164" s="41"/>
      <c r="T164" s="41"/>
      <c r="U164" s="16">
        <f t="shared" si="25"/>
        <v>0</v>
      </c>
      <c r="V164" s="45" t="e">
        <f t="shared" si="24"/>
        <v>#DIV/0!</v>
      </c>
    </row>
    <row r="165" spans="1:22" x14ac:dyDescent="0.2">
      <c r="A165" s="3">
        <v>707300</v>
      </c>
      <c r="B165" s="3" t="s">
        <v>401</v>
      </c>
      <c r="C165" s="1">
        <v>771100</v>
      </c>
      <c r="D165" s="1" t="s">
        <v>141</v>
      </c>
      <c r="E165" s="22"/>
      <c r="F165" s="22"/>
      <c r="G165" s="22"/>
      <c r="H165" s="22"/>
      <c r="I165" s="22"/>
      <c r="J165" s="22"/>
      <c r="K165" s="22">
        <v>153.96</v>
      </c>
      <c r="L165" s="22"/>
      <c r="M165" s="22"/>
      <c r="N165" s="22"/>
      <c r="O165" s="22"/>
      <c r="P165" s="22"/>
      <c r="Q165" s="22"/>
      <c r="R165" s="41"/>
      <c r="S165" s="41"/>
      <c r="T165" s="41">
        <v>-18.75</v>
      </c>
      <c r="U165" s="16">
        <f t="shared" si="25"/>
        <v>-18.75</v>
      </c>
      <c r="V165" s="45" t="e">
        <f t="shared" si="24"/>
        <v>#DIV/0!</v>
      </c>
    </row>
    <row r="166" spans="1:22" x14ac:dyDescent="0.2">
      <c r="A166" s="3">
        <v>707300</v>
      </c>
      <c r="B166" s="3" t="s">
        <v>401</v>
      </c>
      <c r="C166" s="1">
        <v>771105</v>
      </c>
      <c r="D166" s="1" t="s">
        <v>142</v>
      </c>
      <c r="R166" s="41"/>
      <c r="S166" s="41"/>
      <c r="T166" s="41"/>
      <c r="U166" s="16">
        <f t="shared" si="25"/>
        <v>0</v>
      </c>
      <c r="V166" s="45" t="e">
        <f t="shared" si="24"/>
        <v>#DIV/0!</v>
      </c>
    </row>
    <row r="167" spans="1:22" x14ac:dyDescent="0.2">
      <c r="A167" s="3">
        <v>707300</v>
      </c>
      <c r="B167" s="3" t="s">
        <v>401</v>
      </c>
      <c r="C167" s="1">
        <v>771110</v>
      </c>
      <c r="D167" s="1" t="s">
        <v>143</v>
      </c>
      <c r="E167" s="22"/>
      <c r="F167" s="22"/>
      <c r="G167" s="22"/>
      <c r="H167" s="22"/>
      <c r="I167" s="22"/>
      <c r="J167" s="22">
        <v>638</v>
      </c>
      <c r="K167" s="22">
        <v>280.52</v>
      </c>
      <c r="L167" s="22"/>
      <c r="M167" s="22"/>
      <c r="N167" s="42">
        <v>202.34</v>
      </c>
      <c r="O167" s="22"/>
      <c r="P167" s="22"/>
      <c r="Q167" s="22"/>
      <c r="R167" s="41"/>
      <c r="S167" s="41"/>
      <c r="T167" s="41"/>
      <c r="U167" s="16">
        <f t="shared" si="25"/>
        <v>0</v>
      </c>
      <c r="V167" s="45" t="e">
        <f t="shared" si="24"/>
        <v>#DIV/0!</v>
      </c>
    </row>
    <row r="168" spans="1:22" x14ac:dyDescent="0.2">
      <c r="A168" s="3">
        <v>707200</v>
      </c>
      <c r="B168" s="3" t="s">
        <v>400</v>
      </c>
      <c r="C168" s="1">
        <v>771115</v>
      </c>
      <c r="D168" s="1" t="s">
        <v>144</v>
      </c>
      <c r="R168" s="41"/>
      <c r="S168" s="41"/>
      <c r="T168" s="41"/>
      <c r="U168" s="16">
        <f t="shared" si="25"/>
        <v>0</v>
      </c>
      <c r="V168" s="45" t="e">
        <f t="shared" si="24"/>
        <v>#DIV/0!</v>
      </c>
    </row>
    <row r="169" spans="1:22" x14ac:dyDescent="0.2">
      <c r="A169" s="3">
        <v>707306</v>
      </c>
      <c r="B169" s="3" t="s">
        <v>406</v>
      </c>
      <c r="C169" s="1">
        <v>772100</v>
      </c>
      <c r="D169" s="1" t="s">
        <v>145</v>
      </c>
      <c r="E169" s="22"/>
      <c r="F169" s="22">
        <v>425</v>
      </c>
      <c r="G169" s="22"/>
      <c r="H169" s="22">
        <v>40000</v>
      </c>
      <c r="I169" s="22">
        <v>44780.4</v>
      </c>
      <c r="J169" s="22">
        <v>2950</v>
      </c>
      <c r="K169" s="22">
        <v>32400</v>
      </c>
      <c r="L169" s="22"/>
      <c r="M169" s="22">
        <v>960</v>
      </c>
      <c r="N169" s="22"/>
      <c r="O169" s="22"/>
      <c r="P169" s="22"/>
      <c r="Q169" s="22"/>
      <c r="R169" s="41"/>
      <c r="S169" s="41"/>
      <c r="T169" s="41"/>
      <c r="U169" s="16">
        <f t="shared" si="25"/>
        <v>0</v>
      </c>
      <c r="V169" s="45" t="e">
        <f t="shared" si="24"/>
        <v>#DIV/0!</v>
      </c>
    </row>
    <row r="170" spans="1:22" x14ac:dyDescent="0.2">
      <c r="A170" s="3">
        <v>702201</v>
      </c>
      <c r="B170" s="3" t="s">
        <v>443</v>
      </c>
      <c r="C170" s="1">
        <v>772105</v>
      </c>
      <c r="D170" s="1" t="s">
        <v>146</v>
      </c>
      <c r="R170" s="41"/>
      <c r="S170" s="41"/>
      <c r="T170" s="41"/>
      <c r="U170" s="16">
        <f t="shared" si="25"/>
        <v>0</v>
      </c>
      <c r="V170" s="45" t="e">
        <f t="shared" si="24"/>
        <v>#DIV/0!</v>
      </c>
    </row>
    <row r="171" spans="1:22" x14ac:dyDescent="0.2">
      <c r="A171" s="3">
        <v>707305</v>
      </c>
      <c r="B171" s="3" t="s">
        <v>405</v>
      </c>
      <c r="C171" s="57">
        <v>772110</v>
      </c>
      <c r="D171" s="57" t="s">
        <v>278</v>
      </c>
      <c r="E171" s="22"/>
      <c r="F171" s="22"/>
      <c r="G171" s="22">
        <v>128.29</v>
      </c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41"/>
      <c r="S171" s="41"/>
      <c r="T171" s="41"/>
      <c r="U171" s="16">
        <f t="shared" si="25"/>
        <v>0</v>
      </c>
      <c r="V171" s="45" t="e">
        <f t="shared" si="24"/>
        <v>#DIV/0!</v>
      </c>
    </row>
    <row r="172" spans="1:22" x14ac:dyDescent="0.2">
      <c r="A172" s="3">
        <v>707502</v>
      </c>
      <c r="B172" s="3" t="s">
        <v>444</v>
      </c>
      <c r="C172" s="1">
        <v>772115</v>
      </c>
      <c r="D172" s="1" t="s">
        <v>147</v>
      </c>
      <c r="R172" s="41"/>
      <c r="S172" s="41"/>
      <c r="T172" s="41"/>
      <c r="U172" s="16">
        <f t="shared" si="25"/>
        <v>0</v>
      </c>
      <c r="V172" s="45" t="e">
        <f t="shared" si="24"/>
        <v>#DIV/0!</v>
      </c>
    </row>
    <row r="173" spans="1:22" x14ac:dyDescent="0.2">
      <c r="A173" s="3">
        <v>706501</v>
      </c>
      <c r="B173" s="3" t="s">
        <v>382</v>
      </c>
      <c r="C173" s="1">
        <v>772116</v>
      </c>
      <c r="D173" s="1" t="s">
        <v>148</v>
      </c>
      <c r="R173" s="41"/>
      <c r="S173" s="41"/>
      <c r="T173" s="41"/>
      <c r="U173" s="16">
        <f t="shared" si="25"/>
        <v>0</v>
      </c>
      <c r="V173" s="45" t="e">
        <f t="shared" si="24"/>
        <v>#DIV/0!</v>
      </c>
    </row>
    <row r="174" spans="1:22" x14ac:dyDescent="0.2">
      <c r="A174" s="3">
        <v>706502</v>
      </c>
      <c r="B174" s="3" t="s">
        <v>383</v>
      </c>
      <c r="C174" s="1">
        <v>772117</v>
      </c>
      <c r="D174" s="1" t="s">
        <v>149</v>
      </c>
      <c r="R174" s="41"/>
      <c r="S174" s="41"/>
      <c r="T174" s="41"/>
      <c r="U174" s="16">
        <f t="shared" si="25"/>
        <v>0</v>
      </c>
      <c r="V174" s="45" t="e">
        <f t="shared" si="24"/>
        <v>#DIV/0!</v>
      </c>
    </row>
    <row r="175" spans="1:22" x14ac:dyDescent="0.2">
      <c r="A175" s="3">
        <v>706503</v>
      </c>
      <c r="B175" s="3" t="s">
        <v>384</v>
      </c>
      <c r="C175" s="1">
        <v>772118</v>
      </c>
      <c r="D175" s="1" t="s">
        <v>290</v>
      </c>
      <c r="Q175" s="42">
        <v>584.36</v>
      </c>
      <c r="R175" s="41"/>
      <c r="S175" s="41"/>
      <c r="T175" s="41"/>
      <c r="U175" s="16">
        <f t="shared" si="25"/>
        <v>0</v>
      </c>
      <c r="V175" s="45" t="e">
        <f t="shared" si="24"/>
        <v>#DIV/0!</v>
      </c>
    </row>
    <row r="176" spans="1:22" x14ac:dyDescent="0.2">
      <c r="A176" s="3">
        <v>707301</v>
      </c>
      <c r="B176" s="3" t="s">
        <v>402</v>
      </c>
      <c r="C176" s="1">
        <v>772120</v>
      </c>
      <c r="D176" s="1" t="s">
        <v>150</v>
      </c>
      <c r="E176" s="22"/>
      <c r="F176" s="22"/>
      <c r="G176" s="22"/>
      <c r="H176" s="22"/>
      <c r="I176" s="22"/>
      <c r="J176" s="22"/>
      <c r="K176" s="22">
        <v>710.4</v>
      </c>
      <c r="L176" s="22"/>
      <c r="M176" s="22"/>
      <c r="N176" s="22"/>
      <c r="O176" s="22"/>
      <c r="P176" s="22"/>
      <c r="R176" s="41"/>
      <c r="S176" s="41">
        <v>795</v>
      </c>
      <c r="T176" s="41"/>
      <c r="U176" s="16">
        <f t="shared" si="25"/>
        <v>-795</v>
      </c>
      <c r="V176" s="45">
        <f t="shared" si="24"/>
        <v>-1</v>
      </c>
    </row>
    <row r="177" spans="1:22" x14ac:dyDescent="0.2">
      <c r="A177" s="3">
        <v>702200</v>
      </c>
      <c r="B177" s="3" t="s">
        <v>74</v>
      </c>
      <c r="C177" s="1">
        <v>772125</v>
      </c>
      <c r="D177" s="1" t="s">
        <v>151</v>
      </c>
      <c r="R177" s="41"/>
      <c r="S177" s="41"/>
      <c r="T177" s="41"/>
      <c r="U177" s="16">
        <f t="shared" si="25"/>
        <v>0</v>
      </c>
      <c r="V177" s="45" t="e">
        <f t="shared" si="24"/>
        <v>#DIV/0!</v>
      </c>
    </row>
    <row r="178" spans="1:22" x14ac:dyDescent="0.2">
      <c r="A178" s="3">
        <v>707303</v>
      </c>
      <c r="B178" s="3" t="s">
        <v>403</v>
      </c>
      <c r="C178" s="57">
        <v>772130</v>
      </c>
      <c r="D178" s="57" t="s">
        <v>196</v>
      </c>
      <c r="E178" s="22"/>
      <c r="F178" s="22"/>
      <c r="G178" s="22"/>
      <c r="H178" s="22"/>
      <c r="I178" s="22">
        <v>2490</v>
      </c>
      <c r="J178" s="22">
        <v>5115.12</v>
      </c>
      <c r="K178" s="22"/>
      <c r="L178" s="22">
        <v>2840</v>
      </c>
      <c r="M178" s="22">
        <v>3030</v>
      </c>
      <c r="N178" s="22"/>
      <c r="O178" s="48">
        <v>6280</v>
      </c>
      <c r="P178" s="48"/>
      <c r="Q178" s="42">
        <v>1530.87</v>
      </c>
      <c r="R178" s="41"/>
      <c r="S178" s="41">
        <v>22089.32</v>
      </c>
      <c r="T178" s="41"/>
      <c r="U178" s="16">
        <f t="shared" si="25"/>
        <v>-22089.32</v>
      </c>
      <c r="V178" s="45">
        <f t="shared" si="24"/>
        <v>-1</v>
      </c>
    </row>
    <row r="179" spans="1:22" x14ac:dyDescent="0.2">
      <c r="A179" s="3">
        <v>707304</v>
      </c>
      <c r="B179" s="3" t="s">
        <v>404</v>
      </c>
      <c r="C179" s="1">
        <v>772135</v>
      </c>
      <c r="D179" s="1" t="s">
        <v>152</v>
      </c>
      <c r="E179" s="22"/>
      <c r="F179" s="22"/>
      <c r="G179" s="22"/>
      <c r="H179" s="22"/>
      <c r="I179" s="22"/>
      <c r="J179" s="22"/>
      <c r="K179" s="22">
        <v>1956.42</v>
      </c>
      <c r="L179" s="22">
        <v>10374.17</v>
      </c>
      <c r="M179" s="22">
        <v>1163.82</v>
      </c>
      <c r="N179" s="42">
        <v>2052.7600000000002</v>
      </c>
      <c r="O179" s="48">
        <v>259.89999999999998</v>
      </c>
      <c r="P179" s="48">
        <v>101</v>
      </c>
      <c r="Q179" s="42">
        <v>3605.97</v>
      </c>
      <c r="R179" s="41">
        <v>421.57</v>
      </c>
      <c r="S179" s="41">
        <v>1049.58</v>
      </c>
      <c r="T179" s="41">
        <v>874.7</v>
      </c>
      <c r="U179" s="16">
        <f t="shared" si="25"/>
        <v>-174.87999999999988</v>
      </c>
      <c r="V179" s="45">
        <f t="shared" si="24"/>
        <v>-0.16661902856380637</v>
      </c>
    </row>
    <row r="180" spans="1:22" x14ac:dyDescent="0.2">
      <c r="A180" s="3">
        <v>707309</v>
      </c>
      <c r="B180" s="3" t="s">
        <v>408</v>
      </c>
      <c r="C180" s="1">
        <v>772140</v>
      </c>
      <c r="D180" s="1" t="s">
        <v>153</v>
      </c>
      <c r="E180" s="22"/>
      <c r="F180" s="22"/>
      <c r="G180" s="22"/>
      <c r="H180" s="22">
        <v>1435.1000000000001</v>
      </c>
      <c r="I180" s="22"/>
      <c r="J180" s="22"/>
      <c r="K180" s="22"/>
      <c r="L180" s="22">
        <v>134.47999999999999</v>
      </c>
      <c r="M180" s="22"/>
      <c r="N180" s="42">
        <v>440.17</v>
      </c>
      <c r="O180" s="48">
        <v>596.25</v>
      </c>
      <c r="P180" s="48"/>
      <c r="Q180" s="48"/>
      <c r="R180" s="41"/>
      <c r="S180" s="41"/>
      <c r="T180" s="41"/>
      <c r="U180" s="16">
        <f t="shared" si="25"/>
        <v>0</v>
      </c>
      <c r="V180" s="45" t="e">
        <f t="shared" si="24"/>
        <v>#DIV/0!</v>
      </c>
    </row>
    <row r="181" spans="1:22" x14ac:dyDescent="0.2">
      <c r="A181" s="3">
        <v>707307</v>
      </c>
      <c r="B181" s="3" t="s">
        <v>407</v>
      </c>
      <c r="C181" s="1">
        <v>772150</v>
      </c>
      <c r="D181" s="1" t="s">
        <v>154</v>
      </c>
      <c r="E181" s="22"/>
      <c r="F181" s="22"/>
      <c r="G181" s="22"/>
      <c r="H181" s="22"/>
      <c r="I181" s="22"/>
      <c r="J181" s="22"/>
      <c r="K181" s="22">
        <v>3280</v>
      </c>
      <c r="L181" s="22"/>
      <c r="M181" s="22"/>
      <c r="N181" s="42">
        <v>993.75</v>
      </c>
      <c r="O181" s="22"/>
      <c r="P181" s="22"/>
      <c r="Q181" s="22"/>
      <c r="R181" s="41"/>
      <c r="S181" s="41"/>
      <c r="T181" s="41"/>
      <c r="U181" s="16">
        <f t="shared" si="25"/>
        <v>0</v>
      </c>
      <c r="V181" s="45" t="e">
        <f t="shared" si="24"/>
        <v>#DIV/0!</v>
      </c>
    </row>
    <row r="182" spans="1:22" x14ac:dyDescent="0.2">
      <c r="A182" s="3">
        <v>707350</v>
      </c>
      <c r="B182" s="3" t="s">
        <v>409</v>
      </c>
      <c r="C182" s="1">
        <v>773100</v>
      </c>
      <c r="D182" s="1" t="s">
        <v>155</v>
      </c>
      <c r="E182" s="22">
        <v>1635.3500000000001</v>
      </c>
      <c r="F182" s="22">
        <v>1880.44</v>
      </c>
      <c r="G182" s="22">
        <v>4491.93</v>
      </c>
      <c r="H182" s="22"/>
      <c r="I182" s="22">
        <v>1823.1100000000001</v>
      </c>
      <c r="J182" s="22"/>
      <c r="K182" s="22"/>
      <c r="L182" s="22"/>
      <c r="M182" s="22"/>
      <c r="N182" s="22"/>
      <c r="O182" s="22"/>
      <c r="P182" s="22"/>
      <c r="Q182" s="22"/>
      <c r="R182" s="41"/>
      <c r="S182" s="41"/>
      <c r="T182" s="41"/>
      <c r="U182" s="16">
        <f t="shared" si="25"/>
        <v>0</v>
      </c>
      <c r="V182" s="45" t="e">
        <f t="shared" si="24"/>
        <v>#DIV/0!</v>
      </c>
    </row>
    <row r="183" spans="1:22" x14ac:dyDescent="0.2">
      <c r="A183" s="3">
        <v>707350</v>
      </c>
      <c r="B183" s="3" t="s">
        <v>409</v>
      </c>
      <c r="C183" s="1">
        <v>773110</v>
      </c>
      <c r="D183" s="1" t="s">
        <v>156</v>
      </c>
      <c r="E183" s="22"/>
      <c r="F183" s="22">
        <v>357.8</v>
      </c>
      <c r="G183" s="22">
        <v>52.5</v>
      </c>
      <c r="H183" s="22">
        <v>140</v>
      </c>
      <c r="I183" s="22">
        <v>24.5</v>
      </c>
      <c r="J183" s="22"/>
      <c r="K183" s="22">
        <v>17.5</v>
      </c>
      <c r="L183" s="22"/>
      <c r="M183" s="22">
        <v>118.09</v>
      </c>
      <c r="N183" s="43">
        <v>94.5</v>
      </c>
      <c r="O183" s="22"/>
      <c r="P183" s="22"/>
      <c r="Q183" s="42">
        <v>350</v>
      </c>
      <c r="R183" s="41">
        <v>315</v>
      </c>
      <c r="S183" s="41">
        <v>1323.63</v>
      </c>
      <c r="T183" s="41"/>
      <c r="U183" s="16">
        <f t="shared" si="25"/>
        <v>-1323.63</v>
      </c>
      <c r="V183" s="45">
        <f t="shared" si="24"/>
        <v>-1</v>
      </c>
    </row>
    <row r="184" spans="1:22" x14ac:dyDescent="0.2">
      <c r="A184" s="3">
        <v>707403</v>
      </c>
      <c r="B184" s="3" t="s">
        <v>410</v>
      </c>
      <c r="C184" s="1">
        <v>773115</v>
      </c>
      <c r="D184" s="1" t="s">
        <v>157</v>
      </c>
      <c r="R184" s="41"/>
      <c r="S184" s="41"/>
      <c r="T184" s="41"/>
      <c r="U184" s="16">
        <f t="shared" si="25"/>
        <v>0</v>
      </c>
      <c r="V184" s="45" t="e">
        <f t="shared" si="24"/>
        <v>#DIV/0!</v>
      </c>
    </row>
    <row r="185" spans="1:22" x14ac:dyDescent="0.2">
      <c r="A185" s="3">
        <v>707400</v>
      </c>
      <c r="B185" s="3" t="s">
        <v>158</v>
      </c>
      <c r="C185" s="1">
        <v>773120</v>
      </c>
      <c r="D185" s="1" t="s">
        <v>158</v>
      </c>
      <c r="E185" s="22"/>
      <c r="F185" s="22">
        <v>135.43</v>
      </c>
      <c r="G185" s="22">
        <v>42.92</v>
      </c>
      <c r="H185" s="22">
        <v>51.93</v>
      </c>
      <c r="I185" s="22">
        <v>8.8000000000000007</v>
      </c>
      <c r="J185" s="22">
        <v>25.41</v>
      </c>
      <c r="K185" s="22">
        <v>31.53</v>
      </c>
      <c r="L185" s="22">
        <v>8.4499999999999993</v>
      </c>
      <c r="M185" s="22">
        <v>4.87</v>
      </c>
      <c r="N185" s="22"/>
      <c r="O185" s="22"/>
      <c r="P185" s="22"/>
      <c r="Q185" s="22"/>
      <c r="R185" s="41">
        <v>13.96</v>
      </c>
      <c r="S185" s="41">
        <v>26.57</v>
      </c>
      <c r="T185" s="41"/>
      <c r="U185" s="16">
        <f t="shared" si="25"/>
        <v>-26.57</v>
      </c>
      <c r="V185" s="45">
        <f t="shared" si="24"/>
        <v>-1</v>
      </c>
    </row>
    <row r="186" spans="1:22" x14ac:dyDescent="0.2">
      <c r="A186" s="3">
        <v>702105</v>
      </c>
      <c r="B186" s="3" t="s">
        <v>350</v>
      </c>
      <c r="C186" s="1">
        <v>773125</v>
      </c>
      <c r="D186" s="1" t="s">
        <v>159</v>
      </c>
      <c r="E186" s="22"/>
      <c r="F186" s="22"/>
      <c r="G186" s="22"/>
      <c r="H186" s="22"/>
      <c r="I186" s="22"/>
      <c r="J186" s="22"/>
      <c r="K186" s="22"/>
      <c r="L186" s="22">
        <v>2503.5700000000002</v>
      </c>
      <c r="M186" s="22"/>
      <c r="N186" s="22"/>
      <c r="O186" s="22"/>
      <c r="P186" s="22"/>
      <c r="Q186" s="22"/>
      <c r="R186" s="41">
        <v>2200</v>
      </c>
      <c r="S186" s="41">
        <v>938.68000000000006</v>
      </c>
      <c r="T186" s="41"/>
      <c r="U186" s="16">
        <f t="shared" si="25"/>
        <v>-938.68000000000006</v>
      </c>
      <c r="V186" s="45">
        <f t="shared" si="24"/>
        <v>-1</v>
      </c>
    </row>
    <row r="187" spans="1:22" x14ac:dyDescent="0.2">
      <c r="A187" s="3">
        <v>707505</v>
      </c>
      <c r="B187" s="3" t="s">
        <v>413</v>
      </c>
      <c r="C187" s="1">
        <v>773130</v>
      </c>
      <c r="D187" s="1" t="s">
        <v>160</v>
      </c>
      <c r="E187" s="22"/>
      <c r="F187" s="22"/>
      <c r="G187" s="22"/>
      <c r="H187" s="22"/>
      <c r="I187" s="22"/>
      <c r="J187" s="22"/>
      <c r="K187" s="22"/>
      <c r="L187" s="22">
        <v>136</v>
      </c>
      <c r="M187" s="22"/>
      <c r="N187" s="22"/>
      <c r="O187" s="22"/>
      <c r="P187" s="22"/>
      <c r="Q187" s="22"/>
      <c r="R187" s="41"/>
      <c r="S187" s="41"/>
      <c r="T187" s="41"/>
      <c r="U187" s="16">
        <f t="shared" si="25"/>
        <v>0</v>
      </c>
      <c r="V187" s="45" t="e">
        <f t="shared" si="24"/>
        <v>#DIV/0!</v>
      </c>
    </row>
    <row r="188" spans="1:22" x14ac:dyDescent="0.2">
      <c r="A188" s="3">
        <v>707505</v>
      </c>
      <c r="B188" s="3" t="s">
        <v>413</v>
      </c>
      <c r="C188" s="1">
        <v>773135</v>
      </c>
      <c r="D188" s="1" t="s">
        <v>161</v>
      </c>
      <c r="N188" s="43">
        <v>77.81</v>
      </c>
      <c r="R188" s="41"/>
      <c r="S188" s="41"/>
      <c r="T188" s="41"/>
      <c r="U188" s="16">
        <f t="shared" si="25"/>
        <v>0</v>
      </c>
      <c r="V188" s="45" t="e">
        <f t="shared" si="24"/>
        <v>#DIV/0!</v>
      </c>
    </row>
    <row r="189" spans="1:22" x14ac:dyDescent="0.2">
      <c r="A189" s="3">
        <v>707452</v>
      </c>
      <c r="B189" s="3" t="s">
        <v>412</v>
      </c>
      <c r="C189" s="1">
        <v>773141</v>
      </c>
      <c r="D189" s="1" t="s">
        <v>162</v>
      </c>
      <c r="U189" s="16">
        <f t="shared" si="25"/>
        <v>0</v>
      </c>
      <c r="V189" s="45" t="e">
        <f t="shared" si="24"/>
        <v>#DIV/0!</v>
      </c>
    </row>
    <row r="190" spans="1:22" x14ac:dyDescent="0.2">
      <c r="A190" s="3">
        <v>707450</v>
      </c>
      <c r="B190" s="3" t="s">
        <v>411</v>
      </c>
      <c r="C190" s="1">
        <v>773144</v>
      </c>
      <c r="D190" s="1" t="s">
        <v>163</v>
      </c>
      <c r="R190" s="41"/>
      <c r="S190" s="41"/>
      <c r="T190" s="41"/>
      <c r="U190" s="16">
        <f t="shared" si="25"/>
        <v>0</v>
      </c>
      <c r="V190" s="45" t="e">
        <f t="shared" si="24"/>
        <v>#DIV/0!</v>
      </c>
    </row>
    <row r="191" spans="1:22" x14ac:dyDescent="0.2">
      <c r="A191" s="71">
        <v>702102</v>
      </c>
      <c r="B191" s="72" t="s">
        <v>348</v>
      </c>
      <c r="C191" s="40">
        <v>773155</v>
      </c>
      <c r="D191" s="40" t="s">
        <v>200</v>
      </c>
      <c r="R191" s="41">
        <v>1497.63</v>
      </c>
      <c r="S191" s="41"/>
      <c r="T191" s="41">
        <v>185</v>
      </c>
      <c r="U191" s="16">
        <f t="shared" si="25"/>
        <v>185</v>
      </c>
      <c r="V191" s="45" t="e">
        <f t="shared" si="24"/>
        <v>#DIV/0!</v>
      </c>
    </row>
    <row r="192" spans="1:22" x14ac:dyDescent="0.2">
      <c r="A192" s="3">
        <v>707590</v>
      </c>
      <c r="B192" s="3" t="s">
        <v>415</v>
      </c>
      <c r="C192" s="1">
        <v>774120</v>
      </c>
      <c r="D192" s="1" t="s">
        <v>164</v>
      </c>
      <c r="E192" s="22">
        <v>81306.13</v>
      </c>
      <c r="F192" s="22">
        <v>67363.570000000007</v>
      </c>
      <c r="G192" s="22">
        <v>64742.630000000005</v>
      </c>
      <c r="H192" s="22">
        <v>80564.709999999992</v>
      </c>
      <c r="I192" s="22">
        <v>61805.38</v>
      </c>
      <c r="J192" s="22">
        <v>52487.590000000004</v>
      </c>
      <c r="K192" s="22">
        <v>-14511.080000000002</v>
      </c>
      <c r="L192" s="22">
        <v>87056.23000000001</v>
      </c>
      <c r="M192" s="22">
        <v>110772.32999999999</v>
      </c>
      <c r="N192" s="42">
        <v>65172.49</v>
      </c>
      <c r="O192" s="48">
        <v>39843.519999999997</v>
      </c>
      <c r="P192" s="48">
        <v>56749.43</v>
      </c>
      <c r="Q192" s="42">
        <v>86519.54</v>
      </c>
      <c r="R192" s="41">
        <v>51823.33</v>
      </c>
      <c r="S192" s="41">
        <v>96926.47</v>
      </c>
      <c r="T192" s="41">
        <v>75799.09</v>
      </c>
      <c r="U192" s="16">
        <f t="shared" si="25"/>
        <v>-21127.380000000005</v>
      </c>
      <c r="V192" s="45">
        <f t="shared" si="24"/>
        <v>-0.21797327396736932</v>
      </c>
    </row>
    <row r="193" spans="1:22" x14ac:dyDescent="0.2">
      <c r="A193" s="3">
        <v>708025</v>
      </c>
      <c r="B193" s="3" t="s">
        <v>448</v>
      </c>
      <c r="C193" s="1">
        <v>781100</v>
      </c>
      <c r="D193" s="1" t="s">
        <v>165</v>
      </c>
      <c r="U193" s="16">
        <f t="shared" si="25"/>
        <v>0</v>
      </c>
      <c r="V193" s="45" t="e">
        <f t="shared" si="24"/>
        <v>#DIV/0!</v>
      </c>
    </row>
    <row r="194" spans="1:22" x14ac:dyDescent="0.2">
      <c r="A194" s="3">
        <v>708021</v>
      </c>
      <c r="B194" s="3" t="s">
        <v>417</v>
      </c>
      <c r="C194" s="1">
        <v>784202</v>
      </c>
      <c r="D194" s="1" t="s">
        <v>166</v>
      </c>
      <c r="U194" s="16">
        <f t="shared" si="25"/>
        <v>0</v>
      </c>
      <c r="V194" s="45" t="e">
        <f t="shared" si="24"/>
        <v>#DIV/0!</v>
      </c>
    </row>
    <row r="195" spans="1:22" x14ac:dyDescent="0.2">
      <c r="A195" s="3">
        <v>708023</v>
      </c>
      <c r="B195" s="3" t="s">
        <v>418</v>
      </c>
      <c r="C195" s="1">
        <v>784203</v>
      </c>
      <c r="D195" s="1" t="s">
        <v>167</v>
      </c>
      <c r="U195" s="16">
        <f t="shared" si="25"/>
        <v>0</v>
      </c>
      <c r="V195" s="45" t="e">
        <f t="shared" si="24"/>
        <v>#DIV/0!</v>
      </c>
    </row>
    <row r="196" spans="1:22" x14ac:dyDescent="0.2">
      <c r="A196" s="3">
        <v>708061</v>
      </c>
      <c r="B196" s="3" t="s">
        <v>422</v>
      </c>
      <c r="C196" s="1">
        <v>784302</v>
      </c>
      <c r="D196" s="1" t="s">
        <v>168</v>
      </c>
      <c r="U196" s="16">
        <f t="shared" si="25"/>
        <v>0</v>
      </c>
      <c r="V196" s="45" t="e">
        <f t="shared" si="24"/>
        <v>#DIV/0!</v>
      </c>
    </row>
    <row r="197" spans="1:22" x14ac:dyDescent="0.2">
      <c r="A197" s="3">
        <v>708063</v>
      </c>
      <c r="B197" s="3" t="s">
        <v>423</v>
      </c>
      <c r="C197" s="1">
        <v>784304</v>
      </c>
      <c r="D197" s="1" t="s">
        <v>169</v>
      </c>
      <c r="U197" s="16">
        <f t="shared" si="25"/>
        <v>0</v>
      </c>
      <c r="V197" s="45" t="e">
        <f t="shared" si="24"/>
        <v>#DIV/0!</v>
      </c>
    </row>
    <row r="198" spans="1:22" x14ac:dyDescent="0.2">
      <c r="A198" s="3">
        <v>708030</v>
      </c>
      <c r="B198" s="3" t="s">
        <v>419</v>
      </c>
      <c r="C198" s="1">
        <v>784307</v>
      </c>
      <c r="D198" s="1" t="s">
        <v>170</v>
      </c>
      <c r="U198" s="16">
        <f t="shared" si="25"/>
        <v>0</v>
      </c>
      <c r="V198" s="45" t="e">
        <f t="shared" si="24"/>
        <v>#DIV/0!</v>
      </c>
    </row>
    <row r="199" spans="1:22" x14ac:dyDescent="0.2">
      <c r="A199" s="3">
        <v>708060</v>
      </c>
      <c r="B199" s="3" t="s">
        <v>421</v>
      </c>
      <c r="C199" s="1">
        <v>784308</v>
      </c>
      <c r="D199" s="1" t="s">
        <v>171</v>
      </c>
      <c r="U199" s="16">
        <f t="shared" si="25"/>
        <v>0</v>
      </c>
      <c r="V199" s="45" t="e">
        <f t="shared" si="24"/>
        <v>#DIV/0!</v>
      </c>
    </row>
    <row r="200" spans="1:22" x14ac:dyDescent="0.2">
      <c r="A200" s="3">
        <v>708060</v>
      </c>
      <c r="B200" s="3" t="s">
        <v>421</v>
      </c>
      <c r="C200" s="57">
        <v>784309</v>
      </c>
      <c r="D200" s="57" t="s">
        <v>209</v>
      </c>
      <c r="E200" s="22"/>
      <c r="F200" s="22"/>
      <c r="G200" s="22"/>
      <c r="H200" s="22"/>
      <c r="I200" s="22"/>
      <c r="J200" s="22">
        <v>11104</v>
      </c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16">
        <f t="shared" si="25"/>
        <v>0</v>
      </c>
      <c r="V200" s="45" t="e">
        <f t="shared" si="24"/>
        <v>#DIV/0!</v>
      </c>
    </row>
    <row r="201" spans="1:22" x14ac:dyDescent="0.2">
      <c r="A201" s="3">
        <v>708040</v>
      </c>
      <c r="B201" s="3" t="s">
        <v>420</v>
      </c>
      <c r="C201" s="1">
        <v>784401</v>
      </c>
      <c r="D201" s="1" t="s">
        <v>172</v>
      </c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41">
        <v>370142.5</v>
      </c>
      <c r="U201" s="16">
        <f t="shared" si="25"/>
        <v>370142.5</v>
      </c>
      <c r="V201" s="45" t="e">
        <f t="shared" si="24"/>
        <v>#DIV/0!</v>
      </c>
    </row>
    <row r="202" spans="1:22" x14ac:dyDescent="0.2">
      <c r="A202" s="3">
        <v>708060</v>
      </c>
      <c r="B202" s="3" t="s">
        <v>421</v>
      </c>
      <c r="C202" s="1">
        <v>784501</v>
      </c>
      <c r="D202" s="1" t="s">
        <v>173</v>
      </c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16">
        <f t="shared" si="25"/>
        <v>0</v>
      </c>
      <c r="V202" s="45" t="e">
        <f t="shared" si="24"/>
        <v>#DIV/0!</v>
      </c>
    </row>
    <row r="203" spans="1:22" x14ac:dyDescent="0.2">
      <c r="A203" s="3">
        <v>708021</v>
      </c>
      <c r="B203" s="3" t="s">
        <v>417</v>
      </c>
      <c r="C203" s="1">
        <v>784604</v>
      </c>
      <c r="D203" s="1" t="s">
        <v>174</v>
      </c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16">
        <f t="shared" si="25"/>
        <v>0</v>
      </c>
      <c r="V203" s="45" t="e">
        <f t="shared" si="24"/>
        <v>#DIV/0!</v>
      </c>
    </row>
    <row r="204" spans="1:22" x14ac:dyDescent="0.2">
      <c r="C204" s="3" t="s">
        <v>234</v>
      </c>
      <c r="D204" s="3" t="s">
        <v>235</v>
      </c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16">
        <f t="shared" si="25"/>
        <v>0</v>
      </c>
      <c r="V204" s="45" t="e">
        <f t="shared" si="24"/>
        <v>#DIV/0!</v>
      </c>
    </row>
    <row r="205" spans="1:22" x14ac:dyDescent="0.2">
      <c r="D205" s="5" t="s">
        <v>233</v>
      </c>
      <c r="E205" s="11">
        <f>SUM(E81:E204)</f>
        <v>17843564.940000001</v>
      </c>
      <c r="F205" s="11">
        <f t="shared" ref="F205:U205" si="26">SUM(F81:F204)</f>
        <v>21128915.560000002</v>
      </c>
      <c r="G205" s="11">
        <f t="shared" si="26"/>
        <v>22642334.709999997</v>
      </c>
      <c r="H205" s="11">
        <f t="shared" si="26"/>
        <v>23100585.190000005</v>
      </c>
      <c r="I205" s="11">
        <f t="shared" si="26"/>
        <v>25004892.709999997</v>
      </c>
      <c r="J205" s="11">
        <f t="shared" si="26"/>
        <v>23802106.410000004</v>
      </c>
      <c r="K205" s="11">
        <f t="shared" si="26"/>
        <v>20883682.179999996</v>
      </c>
      <c r="L205" s="11">
        <f t="shared" si="26"/>
        <v>21356359.559999999</v>
      </c>
      <c r="M205" s="11">
        <f t="shared" si="26"/>
        <v>21777987.050000001</v>
      </c>
      <c r="N205" s="11">
        <f t="shared" si="26"/>
        <v>24229943.150000006</v>
      </c>
      <c r="O205" s="11">
        <f t="shared" si="26"/>
        <v>24675054.160000004</v>
      </c>
      <c r="P205" s="11">
        <f t="shared" si="26"/>
        <v>23705778.600000001</v>
      </c>
      <c r="Q205" s="11">
        <f t="shared" si="26"/>
        <v>27360490.239999995</v>
      </c>
      <c r="R205" s="11">
        <f t="shared" ref="R205:S205" si="27">SUM(R81:R204)</f>
        <v>27222072.720000003</v>
      </c>
      <c r="S205" s="11">
        <f t="shared" si="27"/>
        <v>30628313.549999993</v>
      </c>
      <c r="T205" s="11">
        <f t="shared" ref="T205" si="28">SUM(T81:T204)</f>
        <v>31476155.949999996</v>
      </c>
      <c r="U205" s="20">
        <f t="shared" si="26"/>
        <v>847842.39999999967</v>
      </c>
      <c r="V205" s="45">
        <f t="shared" si="24"/>
        <v>2.7681654708670692E-2</v>
      </c>
    </row>
    <row r="206" spans="1:22" x14ac:dyDescent="0.2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  <c r="U206" s="16"/>
      <c r="V206" s="45"/>
    </row>
    <row r="207" spans="1:22" x14ac:dyDescent="0.2">
      <c r="C207" s="3" t="s">
        <v>218</v>
      </c>
      <c r="E207" s="4"/>
      <c r="F207" s="4"/>
      <c r="G207" s="4"/>
      <c r="H207" s="4"/>
      <c r="I207" s="4">
        <v>0</v>
      </c>
      <c r="J207" s="4">
        <v>0</v>
      </c>
      <c r="K207" s="4">
        <v>0</v>
      </c>
      <c r="L207" s="4">
        <v>0</v>
      </c>
      <c r="M207" s="4">
        <v>0</v>
      </c>
      <c r="N207" s="4">
        <v>0</v>
      </c>
      <c r="O207" s="4">
        <v>0</v>
      </c>
      <c r="P207" s="4">
        <v>0</v>
      </c>
      <c r="Q207" s="4">
        <v>0</v>
      </c>
      <c r="R207" s="4">
        <v>0</v>
      </c>
      <c r="S207" s="4">
        <v>0</v>
      </c>
      <c r="T207" s="4">
        <v>0</v>
      </c>
      <c r="U207" s="16">
        <f t="shared" ref="U207" si="29">T207-S207</f>
        <v>0</v>
      </c>
      <c r="V207" s="45" t="e">
        <f t="shared" ref="V207" si="30">U207/S207</f>
        <v>#DIV/0!</v>
      </c>
    </row>
    <row r="208" spans="1:22" x14ac:dyDescent="0.2"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  <c r="U208" s="16"/>
      <c r="V208" s="45"/>
    </row>
    <row r="209" spans="3:22" x14ac:dyDescent="0.2">
      <c r="C209" s="3" t="s">
        <v>219</v>
      </c>
      <c r="E209" s="4"/>
      <c r="F209" s="4"/>
      <c r="G209" s="4"/>
      <c r="H209" s="4"/>
      <c r="I209" s="4">
        <v>0</v>
      </c>
      <c r="J209" s="4">
        <v>0</v>
      </c>
      <c r="K209" s="4">
        <v>0</v>
      </c>
      <c r="L209" s="4">
        <v>0</v>
      </c>
      <c r="M209" s="4">
        <v>0</v>
      </c>
      <c r="N209" s="4">
        <v>0</v>
      </c>
      <c r="O209" s="4">
        <v>0</v>
      </c>
      <c r="P209" s="4">
        <v>0</v>
      </c>
      <c r="Q209" s="4">
        <v>0</v>
      </c>
      <c r="R209" s="4">
        <v>0</v>
      </c>
      <c r="S209" s="4">
        <v>0</v>
      </c>
      <c r="T209" s="4">
        <v>0</v>
      </c>
      <c r="U209" s="16">
        <f t="shared" ref="U209" si="31">T209-S209</f>
        <v>0</v>
      </c>
      <c r="V209" s="45" t="e">
        <f t="shared" ref="V209:V211" si="32">U209/S209</f>
        <v>#DIV/0!</v>
      </c>
    </row>
    <row r="210" spans="3:22" x14ac:dyDescent="0.2"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S210" s="4"/>
      <c r="T210" s="4"/>
      <c r="U210" s="16"/>
      <c r="V210" s="45"/>
    </row>
    <row r="211" spans="3:22" ht="13.5" thickBot="1" x14ac:dyDescent="0.25">
      <c r="D211" s="14" t="s">
        <v>2</v>
      </c>
      <c r="E211" s="10">
        <f>E80+E205+SUM(E206:E210)</f>
        <v>17843564.940000001</v>
      </c>
      <c r="F211" s="10">
        <f t="shared" ref="F211:U211" si="33">F80+F205+SUM(F206:F210)</f>
        <v>21128915.560000002</v>
      </c>
      <c r="G211" s="10">
        <f t="shared" si="33"/>
        <v>22642334.709999997</v>
      </c>
      <c r="H211" s="10">
        <f t="shared" si="33"/>
        <v>23100585.190000005</v>
      </c>
      <c r="I211" s="10">
        <f t="shared" si="33"/>
        <v>25004892.709999997</v>
      </c>
      <c r="J211" s="10">
        <f t="shared" si="33"/>
        <v>23802106.410000004</v>
      </c>
      <c r="K211" s="10">
        <f t="shared" si="33"/>
        <v>20883682.179999996</v>
      </c>
      <c r="L211" s="10">
        <f t="shared" si="33"/>
        <v>21356359.559999999</v>
      </c>
      <c r="M211" s="10">
        <f t="shared" si="33"/>
        <v>21777987.050000001</v>
      </c>
      <c r="N211" s="10">
        <f t="shared" si="33"/>
        <v>24229943.150000006</v>
      </c>
      <c r="O211" s="10">
        <f t="shared" si="33"/>
        <v>24675054.160000004</v>
      </c>
      <c r="P211" s="10">
        <f t="shared" si="33"/>
        <v>23705778.600000001</v>
      </c>
      <c r="Q211" s="10">
        <f t="shared" si="33"/>
        <v>27360490.239999995</v>
      </c>
      <c r="R211" s="10">
        <f t="shared" ref="R211:S211" si="34">R80+R205+SUM(R206:R210)</f>
        <v>27222072.720000003</v>
      </c>
      <c r="S211" s="10">
        <f t="shared" si="34"/>
        <v>30628313.549999993</v>
      </c>
      <c r="T211" s="10">
        <f t="shared" ref="T211" si="35">T80+T205+SUM(T206:T210)</f>
        <v>31476155.949999996</v>
      </c>
      <c r="U211" s="21">
        <f t="shared" si="33"/>
        <v>847842.39999999967</v>
      </c>
      <c r="V211" s="45">
        <f t="shared" si="32"/>
        <v>2.7681654708670692E-2</v>
      </c>
    </row>
    <row r="212" spans="3:22" ht="13.5" thickTop="1" x14ac:dyDescent="0.2"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S212" s="4"/>
      <c r="T212" s="4"/>
    </row>
    <row r="213" spans="3:22" x14ac:dyDescent="0.2">
      <c r="C213" s="3" t="s">
        <v>220</v>
      </c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S213" s="4"/>
      <c r="T213" s="4"/>
    </row>
    <row r="214" spans="3:22" x14ac:dyDescent="0.2">
      <c r="C214" s="3" t="s">
        <v>221</v>
      </c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S214" s="4"/>
      <c r="T214" s="4"/>
    </row>
    <row r="215" spans="3:22" x14ac:dyDescent="0.2"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S215" s="4"/>
      <c r="T215" s="4"/>
    </row>
    <row r="216" spans="3:22" x14ac:dyDescent="0.2"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S216" s="4"/>
      <c r="T216" s="4"/>
    </row>
    <row r="217" spans="3:22" x14ac:dyDescent="0.2">
      <c r="C217" s="12" t="s">
        <v>482</v>
      </c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S217" s="4"/>
      <c r="T217" s="4"/>
    </row>
  </sheetData>
  <phoneticPr fontId="10" type="noConversion"/>
  <pageMargins left="0" right="0" top="0" bottom="0.5" header="0" footer="0"/>
  <pageSetup paperSize="5" scale="90" fitToHeight="20" orientation="landscape" r:id="rId1"/>
  <headerFooter>
    <oddFooter>&amp;R&amp;8Page &amp;P of &amp;N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V208"/>
  <sheetViews>
    <sheetView zoomScaleNormal="100" workbookViewId="0">
      <pane xSplit="4" ySplit="7" topLeftCell="R177" activePane="bottomRight" state="frozen"/>
      <selection pane="topRight" activeCell="C1" sqref="C1"/>
      <selection pane="bottomLeft" activeCell="A8" sqref="A8"/>
      <selection pane="bottomRight" activeCell="V193" sqref="V193"/>
    </sheetView>
  </sheetViews>
  <sheetFormatPr defaultColWidth="9.140625" defaultRowHeight="12.75" x14ac:dyDescent="0.2"/>
  <cols>
    <col min="1" max="1" width="9.140625" style="3"/>
    <col min="2" max="2" width="36.85546875" style="3" bestFit="1" customWidth="1"/>
    <col min="3" max="3" width="8.85546875" style="3" customWidth="1"/>
    <col min="4" max="4" width="35.7109375" style="3" bestFit="1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9.5703125" style="44" bestFit="1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251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1148962.52</v>
      </c>
      <c r="F9" s="4">
        <v>1207997.8999999999</v>
      </c>
      <c r="G9" s="4">
        <v>1114192</v>
      </c>
      <c r="H9" s="4">
        <v>1034695.2</v>
      </c>
      <c r="I9" s="4">
        <v>1066941.82</v>
      </c>
      <c r="J9" s="4">
        <v>1053731.3600000001</v>
      </c>
      <c r="K9" s="4">
        <v>1020407.46</v>
      </c>
      <c r="L9" s="4">
        <v>1123263.31</v>
      </c>
      <c r="M9" s="4">
        <v>1122522.27</v>
      </c>
      <c r="N9" s="4">
        <v>1339813.74</v>
      </c>
      <c r="O9" s="4">
        <v>1443692.38</v>
      </c>
      <c r="P9" s="4">
        <f>967828.61+508305.96</f>
        <v>1476134.57</v>
      </c>
      <c r="Q9" s="4">
        <f>1029382.92+567349.6</f>
        <v>1596732.52</v>
      </c>
      <c r="R9" s="4">
        <f>1036812.03+628395.3</f>
        <v>1665207.33</v>
      </c>
      <c r="S9" s="4">
        <f>1140814.8+667503.37</f>
        <v>1808318.17</v>
      </c>
      <c r="T9" s="4">
        <f>916692.18+611131.49</f>
        <v>1527823.67</v>
      </c>
      <c r="U9" s="16">
        <f>T9-S9</f>
        <v>-280494.5</v>
      </c>
      <c r="V9" s="45">
        <f>U9/S9</f>
        <v>-0.15511346656434913</v>
      </c>
    </row>
    <row r="10" spans="1:22" x14ac:dyDescent="0.2">
      <c r="C10" s="3" t="s">
        <v>1</v>
      </c>
      <c r="E10" s="4">
        <v>6473256.8499999996</v>
      </c>
      <c r="F10" s="4">
        <v>7180673.6600000001</v>
      </c>
      <c r="G10" s="4">
        <v>7814288.8799999999</v>
      </c>
      <c r="H10" s="4">
        <v>8222285.6299999999</v>
      </c>
      <c r="I10" s="4">
        <v>8907982.1999999993</v>
      </c>
      <c r="J10" s="4">
        <v>9126195.3399999999</v>
      </c>
      <c r="K10" s="4">
        <v>9162730.9900000002</v>
      </c>
      <c r="L10" s="4">
        <v>9449921.0399999991</v>
      </c>
      <c r="M10" s="4">
        <v>9841611.0899999999</v>
      </c>
      <c r="N10" s="4">
        <v>9924185.25</v>
      </c>
      <c r="O10" s="4">
        <v>11080223.470000001</v>
      </c>
      <c r="P10" s="4">
        <v>11011098.26</v>
      </c>
      <c r="Q10" s="4">
        <v>9206730.8900000006</v>
      </c>
      <c r="R10" s="4">
        <v>9673290.0600000005</v>
      </c>
      <c r="S10" s="4">
        <v>4873475.26</v>
      </c>
      <c r="T10" s="4">
        <v>6892533.7300000004</v>
      </c>
      <c r="U10" s="16">
        <f t="shared" ref="U10:U12" si="0">T10-S10</f>
        <v>2019058.4700000007</v>
      </c>
      <c r="V10" s="45">
        <f t="shared" ref="V10:V13" si="1">U10/S10</f>
        <v>0.41429541800936542</v>
      </c>
    </row>
    <row r="11" spans="1:22" x14ac:dyDescent="0.2">
      <c r="C11" s="3" t="s">
        <v>218</v>
      </c>
      <c r="E11" s="4"/>
      <c r="F11" s="4"/>
      <c r="G11" s="4"/>
      <c r="H11" s="4"/>
      <c r="I11" s="4">
        <v>216335.18</v>
      </c>
      <c r="J11" s="4">
        <v>219819.94</v>
      </c>
      <c r="K11" s="4">
        <v>166642.99</v>
      </c>
      <c r="L11" s="4">
        <v>194986.97</v>
      </c>
      <c r="M11" s="4">
        <v>178551.3</v>
      </c>
      <c r="N11" s="4">
        <v>204051.08</v>
      </c>
      <c r="O11" s="4">
        <v>160308.89000000001</v>
      </c>
      <c r="P11" s="4">
        <v>175131.72</v>
      </c>
      <c r="Q11" s="4">
        <v>248592.33</v>
      </c>
      <c r="R11" s="4">
        <v>309239.58</v>
      </c>
      <c r="S11" s="4">
        <v>193765.99</v>
      </c>
      <c r="T11" s="4">
        <v>174118.07</v>
      </c>
      <c r="U11" s="16">
        <f t="shared" si="0"/>
        <v>-19647.919999999984</v>
      </c>
      <c r="V11" s="45">
        <f t="shared" si="1"/>
        <v>-0.10140025089026193</v>
      </c>
    </row>
    <row r="12" spans="1:22" x14ac:dyDescent="0.2">
      <c r="C12" s="3" t="s">
        <v>219</v>
      </c>
      <c r="E12" s="4"/>
      <c r="F12" s="4"/>
      <c r="G12" s="4"/>
      <c r="H12" s="4"/>
      <c r="I12" s="4">
        <v>127153.60000000001</v>
      </c>
      <c r="J12" s="4">
        <v>121600.86</v>
      </c>
      <c r="K12" s="4">
        <v>115231.09</v>
      </c>
      <c r="L12" s="4">
        <v>126717.36</v>
      </c>
      <c r="M12" s="4">
        <v>128395.47</v>
      </c>
      <c r="N12" s="4">
        <v>140597.5</v>
      </c>
      <c r="O12" s="4">
        <v>158300.93</v>
      </c>
      <c r="P12" s="4">
        <v>166330.84</v>
      </c>
      <c r="Q12" s="4">
        <v>172563.8</v>
      </c>
      <c r="R12" s="4">
        <v>172945.46</v>
      </c>
      <c r="S12" s="4">
        <v>174471.74</v>
      </c>
      <c r="T12" s="4">
        <v>138606.16</v>
      </c>
      <c r="U12" s="16">
        <f t="shared" si="0"/>
        <v>-35865.579999999987</v>
      </c>
      <c r="V12" s="45">
        <f t="shared" si="1"/>
        <v>-0.2055667009453794</v>
      </c>
    </row>
    <row r="13" spans="1:22" ht="13.5" thickBot="1" x14ac:dyDescent="0.25">
      <c r="C13" s="3" t="s">
        <v>2</v>
      </c>
      <c r="E13" s="10">
        <f t="shared" ref="E13:U13" si="2">SUM(E9:E12)</f>
        <v>7622219.3699999992</v>
      </c>
      <c r="F13" s="10">
        <f t="shared" si="2"/>
        <v>8388671.5600000005</v>
      </c>
      <c r="G13" s="10">
        <f t="shared" si="2"/>
        <v>8928480.879999999</v>
      </c>
      <c r="H13" s="10">
        <f t="shared" si="2"/>
        <v>9256980.8300000001</v>
      </c>
      <c r="I13" s="10">
        <f t="shared" si="2"/>
        <v>10318412.799999999</v>
      </c>
      <c r="J13" s="10">
        <f t="shared" si="2"/>
        <v>10521347.499999998</v>
      </c>
      <c r="K13" s="10">
        <f t="shared" si="2"/>
        <v>10465012.529999999</v>
      </c>
      <c r="L13" s="10">
        <f t="shared" si="2"/>
        <v>10894888.68</v>
      </c>
      <c r="M13" s="10">
        <f t="shared" si="2"/>
        <v>11271080.130000001</v>
      </c>
      <c r="N13" s="10">
        <f t="shared" si="2"/>
        <v>11608647.57</v>
      </c>
      <c r="O13" s="10">
        <f t="shared" si="2"/>
        <v>12842525.670000002</v>
      </c>
      <c r="P13" s="10">
        <f t="shared" si="2"/>
        <v>12828695.390000001</v>
      </c>
      <c r="Q13" s="10">
        <f t="shared" si="2"/>
        <v>11224619.540000001</v>
      </c>
      <c r="R13" s="10">
        <f t="shared" si="2"/>
        <v>11820682.430000002</v>
      </c>
      <c r="S13" s="10">
        <f t="shared" si="2"/>
        <v>7050031.1600000001</v>
      </c>
      <c r="T13" s="10">
        <f t="shared" si="2"/>
        <v>8733081.6300000008</v>
      </c>
      <c r="U13" s="21">
        <f t="shared" si="2"/>
        <v>1683050.4700000007</v>
      </c>
      <c r="V13" s="45">
        <f t="shared" si="1"/>
        <v>0.23872950797000458</v>
      </c>
    </row>
    <row r="14" spans="1:22" ht="13.5" thickTop="1" x14ac:dyDescent="0.2">
      <c r="U14" s="16"/>
    </row>
    <row r="15" spans="1:22" x14ac:dyDescent="0.2">
      <c r="C15" s="8" t="s">
        <v>250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2">
        <v>146435.76</v>
      </c>
      <c r="F18" s="22">
        <v>147646.05000000002</v>
      </c>
      <c r="G18" s="22">
        <v>228718.1</v>
      </c>
      <c r="H18" s="22">
        <v>148919.62</v>
      </c>
      <c r="I18" s="22">
        <v>139271.14000000001</v>
      </c>
      <c r="J18" s="22">
        <v>210454.43</v>
      </c>
      <c r="K18" s="22">
        <v>253437.08000000002</v>
      </c>
      <c r="L18" s="22">
        <v>281538.14</v>
      </c>
      <c r="M18" s="22">
        <v>336801.77999999997</v>
      </c>
      <c r="N18" s="42">
        <v>399328.06</v>
      </c>
      <c r="O18" s="48">
        <f>468430.55+38620.62+0.01</f>
        <v>507051.18</v>
      </c>
      <c r="P18" s="48">
        <f>449557.76+36309.75</f>
        <v>485867.51</v>
      </c>
      <c r="Q18" s="49">
        <f>490004.33+38770.6</f>
        <v>528774.93000000005</v>
      </c>
      <c r="R18" s="41">
        <f>649295.13+75912.04</f>
        <v>725207.17</v>
      </c>
      <c r="S18" s="41">
        <f>710691.21+91372.95</f>
        <v>802064.15999999992</v>
      </c>
      <c r="T18" s="41">
        <f>665282.4+76670.67</f>
        <v>741953.07000000007</v>
      </c>
      <c r="U18" s="16">
        <f t="shared" ref="U18" si="3">T18-S18</f>
        <v>-60111.089999999851</v>
      </c>
      <c r="V18" s="45">
        <f t="shared" ref="V18" si="4">U18/S18</f>
        <v>-7.4945488151471396E-2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O20" s="48">
        <f>35.73</f>
        <v>35.729999999999997</v>
      </c>
      <c r="P20" s="48"/>
      <c r="Q20" s="48"/>
      <c r="R20" s="48"/>
      <c r="S20" s="48"/>
      <c r="T20" s="48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>
        <v>418997.8</v>
      </c>
      <c r="F22" s="22">
        <v>432047.38999999996</v>
      </c>
      <c r="G22" s="22">
        <v>329306.98999999993</v>
      </c>
      <c r="H22" s="22">
        <v>423825.59</v>
      </c>
      <c r="I22" s="22">
        <v>425988.33999999997</v>
      </c>
      <c r="J22" s="22">
        <v>375883.98</v>
      </c>
      <c r="K22" s="22">
        <v>326841.59000000003</v>
      </c>
      <c r="L22" s="22">
        <v>295840.95</v>
      </c>
      <c r="M22" s="22">
        <v>231844.84</v>
      </c>
      <c r="N22" s="42">
        <v>239503.09</v>
      </c>
      <c r="O22" s="48">
        <f>207877.17+5622.62</f>
        <v>213499.79</v>
      </c>
      <c r="P22" s="48">
        <f>188021.18+6137.89</f>
        <v>194159.07</v>
      </c>
      <c r="Q22" s="49">
        <f>196046.53+6388.07</f>
        <v>202434.6</v>
      </c>
      <c r="R22" s="49"/>
      <c r="S22" s="49"/>
      <c r="T22" s="49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"/>
      <c r="F23" s="2"/>
      <c r="G23" s="2"/>
      <c r="H23" s="2"/>
      <c r="I23" s="2"/>
      <c r="J23" s="2"/>
      <c r="K23" s="2"/>
      <c r="L23" s="2"/>
      <c r="M23" s="2"/>
      <c r="N23" s="2"/>
      <c r="O23" s="2">
        <f>237.66</f>
        <v>237.66</v>
      </c>
      <c r="P23" s="2">
        <f>266</f>
        <v>266</v>
      </c>
      <c r="Q23" s="2">
        <f>231.06</f>
        <v>231.06</v>
      </c>
      <c r="R23" s="2"/>
      <c r="S23" s="2"/>
      <c r="T23" s="2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2">
        <f>8.37</f>
        <v>8.3699999999999992</v>
      </c>
      <c r="P25" s="2">
        <f>408.39+95.79</f>
        <v>504.18</v>
      </c>
      <c r="Q25" s="2">
        <f>1.51</f>
        <v>1.51</v>
      </c>
      <c r="R25" s="2"/>
      <c r="S25" s="2"/>
      <c r="T25" s="2"/>
      <c r="U25" s="16"/>
      <c r="V25" s="45"/>
    </row>
    <row r="26" spans="1:22" x14ac:dyDescent="0.2">
      <c r="C26" s="1"/>
      <c r="D26" s="5" t="s">
        <v>229</v>
      </c>
      <c r="E26" s="6">
        <f t="shared" ref="E26:T26" si="5">SUM(E18:E25)</f>
        <v>565433.56000000006</v>
      </c>
      <c r="F26" s="6">
        <f t="shared" si="5"/>
        <v>579693.43999999994</v>
      </c>
      <c r="G26" s="6">
        <f t="shared" si="5"/>
        <v>558025.09</v>
      </c>
      <c r="H26" s="6">
        <f t="shared" si="5"/>
        <v>572745.21</v>
      </c>
      <c r="I26" s="6">
        <f t="shared" si="5"/>
        <v>565259.48</v>
      </c>
      <c r="J26" s="6">
        <f t="shared" si="5"/>
        <v>586338.40999999992</v>
      </c>
      <c r="K26" s="6">
        <f t="shared" si="5"/>
        <v>580278.67000000004</v>
      </c>
      <c r="L26" s="6">
        <f t="shared" si="5"/>
        <v>577379.09000000008</v>
      </c>
      <c r="M26" s="6">
        <f t="shared" si="5"/>
        <v>568646.62</v>
      </c>
      <c r="N26" s="6">
        <f t="shared" si="5"/>
        <v>638831.15</v>
      </c>
      <c r="O26" s="6">
        <f t="shared" si="5"/>
        <v>720832.73</v>
      </c>
      <c r="P26" s="6">
        <f t="shared" si="5"/>
        <v>680796.76000000013</v>
      </c>
      <c r="Q26" s="6">
        <f t="shared" si="5"/>
        <v>731442.10000000009</v>
      </c>
      <c r="R26" s="6">
        <f t="shared" si="5"/>
        <v>725207.17</v>
      </c>
      <c r="S26" s="6">
        <f t="shared" si="5"/>
        <v>802064.15999999992</v>
      </c>
      <c r="T26" s="6">
        <f t="shared" si="5"/>
        <v>741953.07000000007</v>
      </c>
      <c r="U26" s="17">
        <f t="shared" ref="U26" si="6">SUM(U18:U25)</f>
        <v>-60111.089999999851</v>
      </c>
      <c r="V26" s="45">
        <f t="shared" ref="V26:V27" si="7">U26/S26</f>
        <v>-7.4945488151471396E-2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2">
        <v>4355.04</v>
      </c>
      <c r="F27" s="22">
        <v>-1152.07</v>
      </c>
      <c r="G27" s="22">
        <v>4233.12</v>
      </c>
      <c r="H27" s="22">
        <v>-3176</v>
      </c>
      <c r="I27" s="22">
        <v>-1257.72</v>
      </c>
      <c r="J27" s="22">
        <v>-1483.43</v>
      </c>
      <c r="K27" s="22">
        <v>1242.45</v>
      </c>
      <c r="L27" s="22">
        <v>-273.52</v>
      </c>
      <c r="M27" s="22">
        <v>1722.29</v>
      </c>
      <c r="N27" s="42">
        <v>-673.80000000000007</v>
      </c>
      <c r="O27" s="48">
        <f>577.64+4.06</f>
        <v>581.69999999999993</v>
      </c>
      <c r="P27" s="48">
        <f>2297.71+305.59</f>
        <v>2603.3000000000002</v>
      </c>
      <c r="Q27" s="64">
        <f>-968.47+195.89+0.01</f>
        <v>-772.57</v>
      </c>
      <c r="R27" s="41">
        <f>-121.39-561.69</f>
        <v>-683.08</v>
      </c>
      <c r="S27" s="41">
        <f>6024.33+169</f>
        <v>6193.33</v>
      </c>
      <c r="T27" s="41">
        <f>1184.56+108.42</f>
        <v>1292.98</v>
      </c>
      <c r="U27" s="16">
        <f t="shared" ref="U27" si="8">T27-S27</f>
        <v>-4900.3500000000004</v>
      </c>
      <c r="V27" s="45">
        <f t="shared" si="7"/>
        <v>-0.79123024285804255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Q28" s="55"/>
      <c r="R28" s="41"/>
      <c r="S28" s="41"/>
      <c r="T28" s="41"/>
      <c r="U28" s="16">
        <f t="shared" ref="U28:U65" si="9">T28-S28</f>
        <v>0</v>
      </c>
      <c r="V28" s="45" t="e">
        <f t="shared" ref="V28:V66" si="10">U28/S28</f>
        <v>#DIV/0!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O29" s="48">
        <f>500+53.11</f>
        <v>553.11</v>
      </c>
      <c r="P29" s="48">
        <f>164.06</f>
        <v>164.06</v>
      </c>
      <c r="Q29" s="48">
        <f>291.33</f>
        <v>291.33</v>
      </c>
      <c r="R29" s="41">
        <v>275.05</v>
      </c>
      <c r="S29" s="41">
        <f>72.95</f>
        <v>72.95</v>
      </c>
      <c r="T29" s="41"/>
      <c r="U29" s="16">
        <f t="shared" si="9"/>
        <v>-72.95</v>
      </c>
      <c r="V29" s="45">
        <f t="shared" si="10"/>
        <v>-1</v>
      </c>
    </row>
    <row r="30" spans="1:22" x14ac:dyDescent="0.2">
      <c r="A30" s="3">
        <v>601203</v>
      </c>
      <c r="B30" s="3" t="s">
        <v>428</v>
      </c>
      <c r="C30" s="57">
        <v>612200</v>
      </c>
      <c r="D30" s="57" t="s">
        <v>264</v>
      </c>
      <c r="E30" s="22"/>
      <c r="F30" s="22"/>
      <c r="G30" s="22"/>
      <c r="H30" s="22"/>
      <c r="I30" s="22"/>
      <c r="J30" s="22"/>
      <c r="K30" s="22"/>
      <c r="L30" s="22"/>
      <c r="M30" s="22"/>
      <c r="N30" s="42">
        <v>800</v>
      </c>
      <c r="O30" s="48">
        <v>800</v>
      </c>
      <c r="P30" s="48"/>
      <c r="Q30" s="48"/>
      <c r="R30" s="41"/>
      <c r="S30" s="41"/>
      <c r="T30" s="41"/>
      <c r="U30" s="16">
        <f t="shared" si="9"/>
        <v>0</v>
      </c>
      <c r="V30" s="45" t="e">
        <f t="shared" si="10"/>
        <v>#DIV/0!</v>
      </c>
    </row>
    <row r="31" spans="1:22" x14ac:dyDescent="0.2">
      <c r="A31" s="3">
        <v>601100</v>
      </c>
      <c r="B31" s="3" t="s">
        <v>318</v>
      </c>
      <c r="C31" s="1">
        <v>612205</v>
      </c>
      <c r="D31" s="1" t="s">
        <v>21</v>
      </c>
      <c r="E31" s="22">
        <v>44205.599999999999</v>
      </c>
      <c r="F31" s="22">
        <v>44082.19</v>
      </c>
      <c r="G31" s="22">
        <v>23560.74</v>
      </c>
      <c r="H31" s="22"/>
      <c r="I31" s="22"/>
      <c r="J31" s="22"/>
      <c r="K31" s="22"/>
      <c r="L31" s="22"/>
      <c r="M31" s="22"/>
      <c r="N31" s="22"/>
      <c r="O31" s="22">
        <f>101</f>
        <v>101</v>
      </c>
      <c r="P31" s="22">
        <f>96.64</f>
        <v>96.64</v>
      </c>
      <c r="Q31" s="61">
        <f>110.71</f>
        <v>110.71</v>
      </c>
      <c r="R31" s="41">
        <v>121.53</v>
      </c>
      <c r="S31" s="41">
        <f>383.79</f>
        <v>383.79</v>
      </c>
      <c r="T31" s="41">
        <v>103.33</v>
      </c>
      <c r="U31" s="16">
        <f t="shared" si="9"/>
        <v>-280.46000000000004</v>
      </c>
      <c r="V31" s="45">
        <f t="shared" si="10"/>
        <v>-0.73076422001615471</v>
      </c>
    </row>
    <row r="32" spans="1:22" x14ac:dyDescent="0.2">
      <c r="A32" s="3">
        <v>601510</v>
      </c>
      <c r="B32" s="3" t="s">
        <v>22</v>
      </c>
      <c r="C32" s="1">
        <v>612220</v>
      </c>
      <c r="D32" s="1" t="s">
        <v>22</v>
      </c>
      <c r="Q32" s="55"/>
      <c r="R32" s="41"/>
      <c r="S32" s="41"/>
      <c r="T32" s="41"/>
      <c r="U32" s="16">
        <f t="shared" si="9"/>
        <v>0</v>
      </c>
      <c r="V32" s="45" t="e">
        <f t="shared" si="10"/>
        <v>#DIV/0!</v>
      </c>
    </row>
    <row r="33" spans="1:22" x14ac:dyDescent="0.2">
      <c r="A33" s="3">
        <v>601306</v>
      </c>
      <c r="B33" s="3" t="s">
        <v>324</v>
      </c>
      <c r="C33" s="1">
        <v>612230</v>
      </c>
      <c r="D33" s="1" t="s">
        <v>23</v>
      </c>
      <c r="E33" s="22">
        <v>17282.8</v>
      </c>
      <c r="F33" s="22">
        <v>14788.880000000001</v>
      </c>
      <c r="G33" s="22">
        <v>13372.85</v>
      </c>
      <c r="H33" s="22">
        <v>15756.4</v>
      </c>
      <c r="I33" s="22"/>
      <c r="J33" s="22">
        <v>11634.75</v>
      </c>
      <c r="K33" s="22">
        <v>16651.75</v>
      </c>
      <c r="L33" s="22">
        <v>20868.75</v>
      </c>
      <c r="M33" s="22">
        <v>10106.35</v>
      </c>
      <c r="N33" s="42">
        <v>13766.4</v>
      </c>
      <c r="O33" s="22">
        <f>247.84</f>
        <v>247.84</v>
      </c>
      <c r="P33" s="22">
        <f>124.73</f>
        <v>124.73</v>
      </c>
      <c r="Q33" s="61">
        <f>114.23</f>
        <v>114.23</v>
      </c>
      <c r="R33" s="41">
        <f>10242+392.58</f>
        <v>10634.58</v>
      </c>
      <c r="S33" s="41">
        <f>12283+611</f>
        <v>12894</v>
      </c>
      <c r="T33" s="41">
        <f>12335.2+735.27</f>
        <v>13070.470000000001</v>
      </c>
      <c r="U33" s="16">
        <f t="shared" si="9"/>
        <v>176.47000000000116</v>
      </c>
      <c r="V33" s="45">
        <f t="shared" si="10"/>
        <v>1.3686210640608125E-2</v>
      </c>
    </row>
    <row r="34" spans="1:22" x14ac:dyDescent="0.2">
      <c r="A34" s="3">
        <v>601303</v>
      </c>
      <c r="B34" s="3" t="s">
        <v>321</v>
      </c>
      <c r="C34" s="1">
        <v>612235</v>
      </c>
      <c r="D34" s="1" t="s">
        <v>24</v>
      </c>
      <c r="E34" s="22"/>
      <c r="F34" s="22"/>
      <c r="G34" s="22"/>
      <c r="H34" s="22"/>
      <c r="I34" s="22"/>
      <c r="J34" s="22"/>
      <c r="K34" s="22"/>
      <c r="L34" s="22"/>
      <c r="M34" s="22">
        <v>10782.1</v>
      </c>
      <c r="N34" s="22"/>
      <c r="O34" s="22"/>
      <c r="P34" s="22"/>
      <c r="Q34" s="61"/>
      <c r="R34" s="41">
        <v>822.28</v>
      </c>
      <c r="S34" s="41">
        <f>177.25</f>
        <v>177.25</v>
      </c>
      <c r="T34" s="41">
        <v>282.16000000000003</v>
      </c>
      <c r="U34" s="16">
        <f t="shared" si="9"/>
        <v>104.91000000000003</v>
      </c>
      <c r="V34" s="45">
        <f t="shared" si="10"/>
        <v>0.59187588152327231</v>
      </c>
    </row>
    <row r="35" spans="1:22" x14ac:dyDescent="0.2">
      <c r="A35" s="3">
        <v>601304</v>
      </c>
      <c r="B35" s="3" t="s">
        <v>322</v>
      </c>
      <c r="C35" s="1">
        <v>612300</v>
      </c>
      <c r="D35" s="1" t="s">
        <v>25</v>
      </c>
      <c r="E35" s="22"/>
      <c r="F35" s="22"/>
      <c r="G35" s="22"/>
      <c r="H35" s="22"/>
      <c r="I35" s="22"/>
      <c r="J35" s="22"/>
      <c r="K35" s="22"/>
      <c r="L35" s="22">
        <v>4000</v>
      </c>
      <c r="M35" s="22"/>
      <c r="N35" s="22"/>
      <c r="O35" s="22"/>
      <c r="P35" s="22"/>
      <c r="Q35" s="61"/>
      <c r="R35" s="41"/>
      <c r="S35" s="41"/>
      <c r="T35" s="41"/>
      <c r="U35" s="16">
        <f t="shared" si="9"/>
        <v>0</v>
      </c>
      <c r="V35" s="45" t="e">
        <f t="shared" si="10"/>
        <v>#DIV/0!</v>
      </c>
    </row>
    <row r="36" spans="1:22" x14ac:dyDescent="0.2">
      <c r="A36" s="3">
        <v>601305</v>
      </c>
      <c r="B36" s="3" t="s">
        <v>323</v>
      </c>
      <c r="C36" s="1">
        <v>612305</v>
      </c>
      <c r="D36" s="1" t="s">
        <v>26</v>
      </c>
      <c r="E36" s="22">
        <v>14053.81</v>
      </c>
      <c r="F36" s="22">
        <v>1292.3</v>
      </c>
      <c r="G36" s="22"/>
      <c r="H36" s="22"/>
      <c r="I36" s="22"/>
      <c r="J36" s="22"/>
      <c r="K36" s="22"/>
      <c r="L36" s="22"/>
      <c r="M36" s="22"/>
      <c r="N36" s="22"/>
      <c r="O36" s="22"/>
      <c r="P36" s="22"/>
      <c r="Q36" s="64">
        <v>13476</v>
      </c>
      <c r="R36" s="41">
        <v>14040</v>
      </c>
      <c r="S36" s="41">
        <v>15964.300000000001</v>
      </c>
      <c r="T36" s="41">
        <f>13982.14</f>
        <v>13982.14</v>
      </c>
      <c r="U36" s="16">
        <f t="shared" si="9"/>
        <v>-1982.1600000000017</v>
      </c>
      <c r="V36" s="45">
        <f t="shared" si="10"/>
        <v>-0.12416203654403898</v>
      </c>
    </row>
    <row r="37" spans="1:22" x14ac:dyDescent="0.2">
      <c r="A37" s="3">
        <v>601400</v>
      </c>
      <c r="B37" s="3" t="s">
        <v>325</v>
      </c>
      <c r="C37" s="1">
        <v>612410</v>
      </c>
      <c r="D37" s="1" t="s">
        <v>27</v>
      </c>
      <c r="E37" s="22">
        <v>210208.05000000002</v>
      </c>
      <c r="F37" s="22">
        <v>183809.52000000002</v>
      </c>
      <c r="G37" s="22">
        <v>189425.30000000002</v>
      </c>
      <c r="H37" s="22">
        <v>224841.73000000004</v>
      </c>
      <c r="I37" s="22">
        <v>180816.47000000003</v>
      </c>
      <c r="J37" s="22">
        <v>110344.80999999998</v>
      </c>
      <c r="K37" s="22">
        <v>123303.75000000001</v>
      </c>
      <c r="L37" s="22">
        <v>131678.79</v>
      </c>
      <c r="M37" s="22">
        <v>129267.79000000001</v>
      </c>
      <c r="N37" s="42">
        <v>179622.01</v>
      </c>
      <c r="O37" s="48">
        <f>197958.84+789.79</f>
        <v>198748.63</v>
      </c>
      <c r="P37" s="48">
        <f>229228.77+896.24</f>
        <v>230125.00999999998</v>
      </c>
      <c r="Q37" s="64">
        <f>231986.13+839.56</f>
        <v>232825.69</v>
      </c>
      <c r="R37" s="41">
        <f>220549.94+2997.46</f>
        <v>223547.4</v>
      </c>
      <c r="S37" s="41">
        <f>225917.89+2818.41</f>
        <v>228736.30000000002</v>
      </c>
      <c r="T37" s="41">
        <f>86393.25+688.11</f>
        <v>87081.36</v>
      </c>
      <c r="U37" s="16">
        <f t="shared" si="9"/>
        <v>-141654.94</v>
      </c>
      <c r="V37" s="45">
        <f t="shared" si="10"/>
        <v>-0.61929365824313842</v>
      </c>
    </row>
    <row r="38" spans="1:22" x14ac:dyDescent="0.2">
      <c r="A38" s="3">
        <v>601401</v>
      </c>
      <c r="B38" s="3" t="s">
        <v>431</v>
      </c>
      <c r="C38" s="1">
        <v>612420</v>
      </c>
      <c r="D38" s="1" t="s">
        <v>28</v>
      </c>
      <c r="Q38" s="54"/>
      <c r="R38" s="41"/>
      <c r="S38" s="41"/>
      <c r="T38" s="41"/>
      <c r="U38" s="16">
        <f t="shared" si="9"/>
        <v>0</v>
      </c>
      <c r="V38" s="45" t="e">
        <f t="shared" si="10"/>
        <v>#DIV/0!</v>
      </c>
    </row>
    <row r="39" spans="1:22" x14ac:dyDescent="0.2">
      <c r="A39" s="3">
        <v>601404</v>
      </c>
      <c r="B39" s="3" t="s">
        <v>327</v>
      </c>
      <c r="C39" s="1">
        <v>612510</v>
      </c>
      <c r="D39" s="1" t="s">
        <v>29</v>
      </c>
      <c r="E39" s="22"/>
      <c r="F39" s="22"/>
      <c r="G39" s="22">
        <v>6981.77</v>
      </c>
      <c r="H39" s="22">
        <v>6572.36</v>
      </c>
      <c r="I39" s="22">
        <v>495.32</v>
      </c>
      <c r="J39" s="22">
        <v>1775.85</v>
      </c>
      <c r="K39" s="22">
        <v>713.52</v>
      </c>
      <c r="L39" s="22">
        <v>826.04</v>
      </c>
      <c r="M39" s="22">
        <v>2321.21</v>
      </c>
      <c r="N39" s="42">
        <v>11913.3</v>
      </c>
      <c r="O39" s="48">
        <v>3900.66</v>
      </c>
      <c r="P39" s="48">
        <f>3054.44+4.14</f>
        <v>3058.58</v>
      </c>
      <c r="Q39" s="48">
        <f>4261.8+15.45+0.01</f>
        <v>4277.26</v>
      </c>
      <c r="R39" s="41">
        <f>5383.64+43.71</f>
        <v>5427.35</v>
      </c>
      <c r="S39" s="41">
        <f>4449.35+136.82</f>
        <v>4586.17</v>
      </c>
      <c r="T39" s="41">
        <f>10472.4+83.09</f>
        <v>10555.49</v>
      </c>
      <c r="U39" s="16">
        <f t="shared" si="9"/>
        <v>5969.32</v>
      </c>
      <c r="V39" s="45">
        <f t="shared" si="10"/>
        <v>1.301591524082186</v>
      </c>
    </row>
    <row r="40" spans="1:22" x14ac:dyDescent="0.2">
      <c r="A40" s="3">
        <v>601405</v>
      </c>
      <c r="B40" s="3" t="s">
        <v>328</v>
      </c>
      <c r="C40" s="1">
        <v>612520</v>
      </c>
      <c r="D40" s="1" t="s">
        <v>30</v>
      </c>
      <c r="E40" s="22"/>
      <c r="F40" s="22"/>
      <c r="G40" s="22">
        <v>2327.2600000000002</v>
      </c>
      <c r="H40" s="22">
        <v>2190.79</v>
      </c>
      <c r="I40" s="22">
        <v>165.1</v>
      </c>
      <c r="J40" s="22">
        <v>591.95000000000005</v>
      </c>
      <c r="K40" s="22">
        <v>237.84</v>
      </c>
      <c r="L40" s="22">
        <v>275.33999999999997</v>
      </c>
      <c r="M40" s="22">
        <v>773.73</v>
      </c>
      <c r="N40" s="42">
        <v>3971.44</v>
      </c>
      <c r="O40" s="48">
        <v>1300.32</v>
      </c>
      <c r="P40" s="48">
        <f>1018.17+1.38</f>
        <v>1019.55</v>
      </c>
      <c r="Q40" s="48">
        <f>1420.62+5.15+0.01</f>
        <v>1425.78</v>
      </c>
      <c r="R40" s="41">
        <f>1794.7+14.57</f>
        <v>1809.27</v>
      </c>
      <c r="S40" s="41">
        <f>1483.12+45.61</f>
        <v>1528.7299999999998</v>
      </c>
      <c r="T40" s="41"/>
      <c r="U40" s="16">
        <f t="shared" si="9"/>
        <v>-1528.7299999999998</v>
      </c>
      <c r="V40" s="45">
        <f t="shared" si="10"/>
        <v>-1</v>
      </c>
    </row>
    <row r="41" spans="1:22" x14ac:dyDescent="0.2">
      <c r="A41" s="3">
        <v>601402</v>
      </c>
      <c r="B41" s="3" t="s">
        <v>326</v>
      </c>
      <c r="C41" s="1">
        <v>612600</v>
      </c>
      <c r="D41" s="1" t="s">
        <v>31</v>
      </c>
      <c r="R41" s="41"/>
      <c r="S41" s="41"/>
      <c r="T41" s="41"/>
      <c r="U41" s="16">
        <f t="shared" si="9"/>
        <v>0</v>
      </c>
      <c r="V41" s="45" t="e">
        <f t="shared" si="10"/>
        <v>#DIV/0!</v>
      </c>
    </row>
    <row r="42" spans="1:22" x14ac:dyDescent="0.2">
      <c r="A42" s="3">
        <v>601501</v>
      </c>
      <c r="B42" s="3" t="s">
        <v>32</v>
      </c>
      <c r="C42" s="1">
        <v>613100</v>
      </c>
      <c r="D42" s="1" t="s">
        <v>32</v>
      </c>
      <c r="E42" s="22">
        <v>601.12</v>
      </c>
      <c r="F42" s="22"/>
      <c r="G42" s="22">
        <v>356.31</v>
      </c>
      <c r="H42" s="22">
        <v>139.54</v>
      </c>
      <c r="I42" s="22">
        <v>682.07</v>
      </c>
      <c r="J42" s="22">
        <v>369.26</v>
      </c>
      <c r="K42" s="22">
        <v>43.31</v>
      </c>
      <c r="L42" s="22">
        <v>382.55</v>
      </c>
      <c r="M42" s="22">
        <v>190.74</v>
      </c>
      <c r="N42" s="42">
        <v>237.92000000000002</v>
      </c>
      <c r="O42" s="48">
        <f>473.42+3763.75</f>
        <v>4237.17</v>
      </c>
      <c r="P42" s="48">
        <f>649.76+3808.6</f>
        <v>4458.3599999999997</v>
      </c>
      <c r="Q42" s="49">
        <f>325.04+3623.21</f>
        <v>3948.25</v>
      </c>
      <c r="R42" s="41">
        <f>325.04+8644.84</f>
        <v>8969.880000000001</v>
      </c>
      <c r="S42" s="41">
        <f>338.19+4810.8</f>
        <v>5148.99</v>
      </c>
      <c r="T42" s="41">
        <v>3646.06</v>
      </c>
      <c r="U42" s="16">
        <f t="shared" si="9"/>
        <v>-1502.9299999999998</v>
      </c>
      <c r="V42" s="45">
        <f t="shared" si="10"/>
        <v>-0.29188831207673738</v>
      </c>
    </row>
    <row r="43" spans="1:22" x14ac:dyDescent="0.2">
      <c r="A43" s="3">
        <v>601503</v>
      </c>
      <c r="B43" s="3" t="s">
        <v>33</v>
      </c>
      <c r="C43" s="1">
        <v>613210</v>
      </c>
      <c r="D43" s="1" t="s">
        <v>33</v>
      </c>
      <c r="E43" s="22">
        <v>6.84</v>
      </c>
      <c r="F43" s="22">
        <v>2.4</v>
      </c>
      <c r="G43" s="22">
        <v>3.6</v>
      </c>
      <c r="H43" s="22"/>
      <c r="I43" s="22"/>
      <c r="J43" s="22"/>
      <c r="K43" s="22"/>
      <c r="L43" s="22"/>
      <c r="M43" s="22"/>
      <c r="N43" s="22"/>
      <c r="O43" s="22">
        <f>330.17</f>
        <v>330.17</v>
      </c>
      <c r="P43" s="22">
        <f>318.24</f>
        <v>318.24</v>
      </c>
      <c r="Q43" s="22">
        <f>326.82</f>
        <v>326.82</v>
      </c>
      <c r="R43" s="41">
        <v>1054.24</v>
      </c>
      <c r="S43" s="41">
        <f>1041.3</f>
        <v>1041.3</v>
      </c>
      <c r="T43" s="41">
        <v>843.76</v>
      </c>
      <c r="U43" s="16">
        <f t="shared" si="9"/>
        <v>-197.53999999999996</v>
      </c>
      <c r="V43" s="45">
        <f t="shared" si="10"/>
        <v>-0.18970517622203012</v>
      </c>
    </row>
    <row r="44" spans="1:22" x14ac:dyDescent="0.2">
      <c r="A44" s="3">
        <v>601504</v>
      </c>
      <c r="B44" s="3" t="s">
        <v>332</v>
      </c>
      <c r="C44" s="57">
        <v>613215</v>
      </c>
      <c r="D44" s="57" t="s">
        <v>275</v>
      </c>
      <c r="E44" s="22"/>
      <c r="F44" s="22"/>
      <c r="G44" s="22"/>
      <c r="H44" s="22"/>
      <c r="I44" s="22"/>
      <c r="J44" s="22"/>
      <c r="K44" s="22"/>
      <c r="L44" s="22"/>
      <c r="M44" s="22"/>
      <c r="N44" s="22"/>
      <c r="O44" s="22">
        <f>19.22</f>
        <v>19.22</v>
      </c>
      <c r="P44" s="22">
        <f>29.96</f>
        <v>29.96</v>
      </c>
      <c r="Q44" s="22">
        <f>31.68</f>
        <v>31.68</v>
      </c>
      <c r="R44" s="41">
        <v>44.64</v>
      </c>
      <c r="S44" s="41">
        <f>29.01</f>
        <v>29.01</v>
      </c>
      <c r="T44" s="41">
        <v>15.38</v>
      </c>
      <c r="U44" s="16">
        <f t="shared" si="9"/>
        <v>-13.63</v>
      </c>
      <c r="V44" s="45">
        <f t="shared" si="10"/>
        <v>-0.46983798690106859</v>
      </c>
    </row>
    <row r="45" spans="1:22" x14ac:dyDescent="0.2">
      <c r="A45" s="3">
        <v>601502</v>
      </c>
      <c r="B45" s="3" t="s">
        <v>331</v>
      </c>
      <c r="C45" s="1">
        <v>613220</v>
      </c>
      <c r="D45" s="1" t="s">
        <v>34</v>
      </c>
      <c r="E45" s="22">
        <v>456.88</v>
      </c>
      <c r="F45" s="22"/>
      <c r="G45" s="22"/>
      <c r="H45" s="22"/>
      <c r="I45" s="22"/>
      <c r="J45" s="22"/>
      <c r="K45" s="22"/>
      <c r="L45" s="22"/>
      <c r="M45" s="22"/>
      <c r="N45" s="22"/>
      <c r="O45" s="22">
        <f>129.35</f>
        <v>129.35</v>
      </c>
      <c r="P45" s="22">
        <f>127.64</f>
        <v>127.64</v>
      </c>
      <c r="Q45" s="22">
        <f>133</f>
        <v>133</v>
      </c>
      <c r="R45" s="41">
        <v>496.06</v>
      </c>
      <c r="S45" s="41">
        <f>540.04</f>
        <v>540.04</v>
      </c>
      <c r="T45" s="41">
        <v>449.32</v>
      </c>
      <c r="U45" s="16">
        <f t="shared" si="9"/>
        <v>-90.71999999999997</v>
      </c>
      <c r="V45" s="45">
        <f t="shared" si="10"/>
        <v>-0.16798755647729793</v>
      </c>
    </row>
    <row r="46" spans="1:22" x14ac:dyDescent="0.2">
      <c r="A46" s="3">
        <v>601509</v>
      </c>
      <c r="B46" s="3" t="s">
        <v>35</v>
      </c>
      <c r="C46" s="1">
        <v>613235</v>
      </c>
      <c r="D46" s="1" t="s">
        <v>35</v>
      </c>
      <c r="E46" s="22">
        <v>1000</v>
      </c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41"/>
      <c r="S46" s="41">
        <f>10.88</f>
        <v>10.88</v>
      </c>
      <c r="T46" s="41">
        <v>87.31</v>
      </c>
      <c r="U46" s="16">
        <f t="shared" si="9"/>
        <v>76.430000000000007</v>
      </c>
      <c r="V46" s="45">
        <f t="shared" si="10"/>
        <v>7.0248161764705888</v>
      </c>
    </row>
    <row r="47" spans="1:22" x14ac:dyDescent="0.2">
      <c r="A47" s="3">
        <v>601513</v>
      </c>
      <c r="B47" s="3" t="s">
        <v>432</v>
      </c>
      <c r="C47" s="1">
        <v>613400</v>
      </c>
      <c r="D47" s="1" t="s">
        <v>36</v>
      </c>
      <c r="E47" s="22">
        <v>-4577.4000000000005</v>
      </c>
      <c r="F47" s="22">
        <v>48033.56</v>
      </c>
      <c r="G47" s="22">
        <v>-2781.82</v>
      </c>
      <c r="H47" s="22">
        <v>-41468.97</v>
      </c>
      <c r="I47" s="22">
        <v>15320.26</v>
      </c>
      <c r="J47" s="22">
        <v>18985.02</v>
      </c>
      <c r="K47" s="22">
        <v>-9312.3000000000011</v>
      </c>
      <c r="L47" s="22">
        <v>6921.27</v>
      </c>
      <c r="M47" s="22">
        <v>-4891.26</v>
      </c>
      <c r="N47" s="42">
        <v>54998.05</v>
      </c>
      <c r="O47" s="48">
        <f>-40462.34+(-51.1)</f>
        <v>-40513.439999999995</v>
      </c>
      <c r="P47" s="48">
        <f>22223.2+(-169.06)</f>
        <v>22054.14</v>
      </c>
      <c r="Q47" s="49">
        <f>26392.46+(-419.88)</f>
        <v>25972.579999999998</v>
      </c>
      <c r="R47" s="41">
        <f>20210.85+1118.37</f>
        <v>21329.219999999998</v>
      </c>
      <c r="S47" s="41">
        <f>36820.12+(-410.07)</f>
        <v>36410.050000000003</v>
      </c>
      <c r="T47" s="41">
        <f>26301.84+871.73</f>
        <v>27173.57</v>
      </c>
      <c r="U47" s="16">
        <f t="shared" si="9"/>
        <v>-9236.4800000000032</v>
      </c>
      <c r="V47" s="45">
        <f t="shared" si="10"/>
        <v>-0.25367940994313393</v>
      </c>
    </row>
    <row r="48" spans="1:22" x14ac:dyDescent="0.2">
      <c r="A48" s="3">
        <v>601508</v>
      </c>
      <c r="B48" s="3" t="s">
        <v>307</v>
      </c>
      <c r="C48" s="1">
        <v>613410</v>
      </c>
      <c r="D48" s="1" t="s">
        <v>37</v>
      </c>
      <c r="R48" s="41"/>
      <c r="S48" s="41"/>
      <c r="T48" s="41"/>
      <c r="U48" s="16">
        <f t="shared" si="9"/>
        <v>0</v>
      </c>
      <c r="V48" s="45" t="e">
        <f t="shared" si="10"/>
        <v>#DIV/0!</v>
      </c>
    </row>
    <row r="49" spans="1:22" x14ac:dyDescent="0.2">
      <c r="A49" s="3">
        <v>601500</v>
      </c>
      <c r="B49" s="3" t="s">
        <v>330</v>
      </c>
      <c r="C49" s="1">
        <v>621100</v>
      </c>
      <c r="D49" s="1" t="s">
        <v>38</v>
      </c>
      <c r="E49" s="22">
        <v>5690.63</v>
      </c>
      <c r="F49" s="22">
        <v>8257.84</v>
      </c>
      <c r="G49" s="22">
        <v>9503.36</v>
      </c>
      <c r="H49" s="22">
        <v>3212.54</v>
      </c>
      <c r="I49" s="22">
        <v>6285.8600000000006</v>
      </c>
      <c r="J49" s="22">
        <v>6286.7</v>
      </c>
      <c r="K49" s="22">
        <v>5482.62</v>
      </c>
      <c r="L49" s="22">
        <v>6212.58</v>
      </c>
      <c r="M49" s="22">
        <v>6665.85</v>
      </c>
      <c r="N49" s="42">
        <v>6992.2300000000005</v>
      </c>
      <c r="O49" s="48">
        <f>7667.94+264.34</f>
        <v>7932.28</v>
      </c>
      <c r="P49" s="48">
        <f>7596.52+255.45</f>
        <v>7851.97</v>
      </c>
      <c r="Q49" s="49">
        <f>7596.52+297.74</f>
        <v>7894.26</v>
      </c>
      <c r="R49" s="41">
        <f>11271.62+829.83</f>
        <v>12101.45</v>
      </c>
      <c r="S49" s="41">
        <f>13011.27+918.33</f>
        <v>13929.6</v>
      </c>
      <c r="T49" s="41">
        <f>14228.64+685.44</f>
        <v>14914.08</v>
      </c>
      <c r="U49" s="16">
        <f t="shared" si="9"/>
        <v>984.47999999999956</v>
      </c>
      <c r="V49" s="45">
        <f t="shared" si="10"/>
        <v>7.0675396278428643E-2</v>
      </c>
    </row>
    <row r="50" spans="1:22" x14ac:dyDescent="0.2">
      <c r="A50" s="3">
        <v>601500</v>
      </c>
      <c r="B50" s="3" t="s">
        <v>330</v>
      </c>
      <c r="C50" s="1">
        <v>621110</v>
      </c>
      <c r="D50" s="1" t="s">
        <v>39</v>
      </c>
      <c r="R50" s="41"/>
      <c r="S50" s="41"/>
      <c r="T50" s="41"/>
      <c r="U50" s="16">
        <f t="shared" si="9"/>
        <v>0</v>
      </c>
      <c r="V50" s="45" t="e">
        <f t="shared" si="10"/>
        <v>#DIV/0!</v>
      </c>
    </row>
    <row r="51" spans="1:22" x14ac:dyDescent="0.2">
      <c r="A51" s="3">
        <v>601500</v>
      </c>
      <c r="B51" s="3" t="s">
        <v>330</v>
      </c>
      <c r="C51" s="1">
        <v>621120</v>
      </c>
      <c r="D51" s="1" t="s">
        <v>40</v>
      </c>
      <c r="R51" s="41"/>
      <c r="S51" s="41"/>
      <c r="T51" s="41"/>
      <c r="U51" s="16">
        <f t="shared" si="9"/>
        <v>0</v>
      </c>
      <c r="V51" s="45" t="e">
        <f t="shared" si="10"/>
        <v>#DIV/0!</v>
      </c>
    </row>
    <row r="52" spans="1:22" x14ac:dyDescent="0.2">
      <c r="A52" s="3">
        <v>601500</v>
      </c>
      <c r="B52" s="3" t="s">
        <v>330</v>
      </c>
      <c r="C52" s="1">
        <v>621130</v>
      </c>
      <c r="D52" s="1" t="s">
        <v>41</v>
      </c>
      <c r="R52" s="41"/>
      <c r="S52" s="41"/>
      <c r="T52" s="41"/>
      <c r="U52" s="16">
        <f t="shared" si="9"/>
        <v>0</v>
      </c>
      <c r="V52" s="45" t="e">
        <f t="shared" si="10"/>
        <v>#DIV/0!</v>
      </c>
    </row>
    <row r="53" spans="1:22" x14ac:dyDescent="0.2">
      <c r="A53" s="3">
        <v>601500</v>
      </c>
      <c r="B53" s="3" t="s">
        <v>330</v>
      </c>
      <c r="C53" s="1">
        <v>621140</v>
      </c>
      <c r="D53" s="1" t="s">
        <v>42</v>
      </c>
      <c r="E53" s="22">
        <v>2925.2200000000003</v>
      </c>
      <c r="F53" s="22">
        <v>3071.27</v>
      </c>
      <c r="G53" s="22">
        <v>-760.52</v>
      </c>
      <c r="H53" s="22"/>
      <c r="I53" s="22"/>
      <c r="J53" s="22"/>
      <c r="K53" s="22"/>
      <c r="L53" s="22">
        <v>1807.8400000000001</v>
      </c>
      <c r="M53" s="22">
        <v>2166.8500000000004</v>
      </c>
      <c r="N53" s="42">
        <v>2779.72</v>
      </c>
      <c r="O53" s="48">
        <f>2920.01+242.07</f>
        <v>3162.0800000000004</v>
      </c>
      <c r="P53" s="48">
        <f>2436.73+183.61</f>
        <v>2620.34</v>
      </c>
      <c r="Q53" s="49">
        <f>3975.53+242.11</f>
        <v>4217.6400000000003</v>
      </c>
      <c r="R53" s="41"/>
      <c r="S53" s="41"/>
      <c r="T53" s="41"/>
      <c r="U53" s="16">
        <f t="shared" si="9"/>
        <v>0</v>
      </c>
      <c r="V53" s="45" t="e">
        <f t="shared" si="10"/>
        <v>#DIV/0!</v>
      </c>
    </row>
    <row r="54" spans="1:22" x14ac:dyDescent="0.2">
      <c r="A54" s="3">
        <v>601500</v>
      </c>
      <c r="B54" s="3" t="s">
        <v>330</v>
      </c>
      <c r="C54" s="1">
        <v>621150</v>
      </c>
      <c r="D54" s="1" t="s">
        <v>43</v>
      </c>
      <c r="P54" s="3">
        <f>40.28</f>
        <v>40.28</v>
      </c>
      <c r="R54" s="41"/>
      <c r="S54" s="41"/>
      <c r="T54" s="41"/>
      <c r="U54" s="16">
        <f t="shared" si="9"/>
        <v>0</v>
      </c>
      <c r="V54" s="45" t="e">
        <f t="shared" si="10"/>
        <v>#DIV/0!</v>
      </c>
    </row>
    <row r="55" spans="1:22" x14ac:dyDescent="0.2">
      <c r="A55" s="3">
        <v>601505</v>
      </c>
      <c r="B55" s="3" t="s">
        <v>333</v>
      </c>
      <c r="C55" s="1">
        <v>622100</v>
      </c>
      <c r="D55" s="1" t="s">
        <v>44</v>
      </c>
      <c r="E55" s="22">
        <v>6736.1</v>
      </c>
      <c r="F55" s="22">
        <v>0</v>
      </c>
      <c r="G55" s="22"/>
      <c r="H55" s="22"/>
      <c r="I55" s="22"/>
      <c r="J55" s="22">
        <v>2090.5500000000002</v>
      </c>
      <c r="K55" s="22"/>
      <c r="L55" s="22"/>
      <c r="M55" s="22">
        <v>2014.89</v>
      </c>
      <c r="N55" s="22"/>
      <c r="O55" s="48">
        <f>29514.64+464.25</f>
        <v>29978.89</v>
      </c>
      <c r="P55" s="48">
        <f>11970.45+228.39</f>
        <v>12198.84</v>
      </c>
      <c r="Q55" s="49">
        <f>2747.75+198.86</f>
        <v>2946.61</v>
      </c>
      <c r="R55" s="41">
        <f>10472.86+826.27</f>
        <v>11299.130000000001</v>
      </c>
      <c r="S55" s="41">
        <f>8348.65+2009.98</f>
        <v>10358.629999999999</v>
      </c>
      <c r="T55" s="41">
        <v>935.78</v>
      </c>
      <c r="U55" s="16">
        <f t="shared" si="9"/>
        <v>-9422.8499999999985</v>
      </c>
      <c r="V55" s="45">
        <f t="shared" si="10"/>
        <v>-0.90966179890583976</v>
      </c>
    </row>
    <row r="56" spans="1:22" x14ac:dyDescent="0.2">
      <c r="A56" s="3">
        <v>601505</v>
      </c>
      <c r="B56" s="3" t="s">
        <v>333</v>
      </c>
      <c r="C56" s="1">
        <v>622140</v>
      </c>
      <c r="D56" s="1" t="s">
        <v>45</v>
      </c>
      <c r="E56" s="22">
        <v>34147.96</v>
      </c>
      <c r="F56" s="22">
        <v>23480.400000000001</v>
      </c>
      <c r="G56" s="22">
        <v>20687.919999999998</v>
      </c>
      <c r="H56" s="22">
        <v>8443.32</v>
      </c>
      <c r="I56" s="22">
        <v>12756.779999999999</v>
      </c>
      <c r="J56" s="22">
        <v>13825.3</v>
      </c>
      <c r="K56" s="22">
        <v>23449.040000000001</v>
      </c>
      <c r="L56" s="22">
        <v>21554.399999999998</v>
      </c>
      <c r="M56" s="22">
        <v>15884.689999999999</v>
      </c>
      <c r="N56" s="22"/>
      <c r="O56" s="48">
        <v>6129.89</v>
      </c>
      <c r="P56" s="48"/>
      <c r="Q56" s="48">
        <f>491.58</f>
        <v>491.58</v>
      </c>
      <c r="R56" s="48"/>
      <c r="S56" s="48"/>
      <c r="T56" s="48"/>
      <c r="U56" s="16">
        <f t="shared" si="9"/>
        <v>0</v>
      </c>
      <c r="V56" s="45" t="e">
        <f t="shared" si="10"/>
        <v>#DIV/0!</v>
      </c>
    </row>
    <row r="57" spans="1:22" x14ac:dyDescent="0.2">
      <c r="A57" s="3">
        <v>601506</v>
      </c>
      <c r="B57" s="3" t="s">
        <v>334</v>
      </c>
      <c r="C57" s="1">
        <v>623100</v>
      </c>
      <c r="D57" s="1" t="s">
        <v>46</v>
      </c>
      <c r="O57" s="3">
        <f>175.54</f>
        <v>175.54</v>
      </c>
      <c r="P57" s="3">
        <f>52.94</f>
        <v>52.94</v>
      </c>
      <c r="Q57" s="3">
        <f>66.91</f>
        <v>66.91</v>
      </c>
      <c r="R57" s="3">
        <v>220.02</v>
      </c>
      <c r="S57" s="3">
        <f>652.26</f>
        <v>652.26</v>
      </c>
      <c r="T57" s="3">
        <v>256.25</v>
      </c>
      <c r="U57" s="16">
        <f t="shared" si="9"/>
        <v>-396.01</v>
      </c>
      <c r="V57" s="45">
        <f t="shared" si="10"/>
        <v>-0.60713519148805695</v>
      </c>
    </row>
    <row r="58" spans="1:22" x14ac:dyDescent="0.2">
      <c r="A58" s="3">
        <v>601506</v>
      </c>
      <c r="B58" s="3" t="s">
        <v>334</v>
      </c>
      <c r="C58" s="1">
        <v>623110</v>
      </c>
      <c r="D58" s="1" t="s">
        <v>47</v>
      </c>
      <c r="U58" s="16">
        <f t="shared" si="9"/>
        <v>0</v>
      </c>
      <c r="V58" s="45" t="e">
        <f t="shared" si="10"/>
        <v>#DIV/0!</v>
      </c>
    </row>
    <row r="59" spans="1:22" x14ac:dyDescent="0.2">
      <c r="A59" s="3">
        <v>601506</v>
      </c>
      <c r="B59" s="3" t="s">
        <v>334</v>
      </c>
      <c r="C59" s="1">
        <v>623120</v>
      </c>
      <c r="D59" s="1" t="s">
        <v>48</v>
      </c>
      <c r="U59" s="16">
        <f t="shared" si="9"/>
        <v>0</v>
      </c>
      <c r="V59" s="45" t="e">
        <f t="shared" si="10"/>
        <v>#DIV/0!</v>
      </c>
    </row>
    <row r="60" spans="1:22" x14ac:dyDescent="0.2">
      <c r="A60" s="3">
        <v>601506</v>
      </c>
      <c r="B60" s="3" t="s">
        <v>334</v>
      </c>
      <c r="C60" s="1">
        <v>623140</v>
      </c>
      <c r="D60" s="1" t="s">
        <v>49</v>
      </c>
      <c r="U60" s="16">
        <f t="shared" si="9"/>
        <v>0</v>
      </c>
      <c r="V60" s="45" t="e">
        <f t="shared" si="10"/>
        <v>#DIV/0!</v>
      </c>
    </row>
    <row r="61" spans="1:22" x14ac:dyDescent="0.2">
      <c r="A61" s="3">
        <v>601506</v>
      </c>
      <c r="B61" s="3" t="s">
        <v>334</v>
      </c>
      <c r="C61" s="1">
        <v>623150</v>
      </c>
      <c r="D61" s="1" t="s">
        <v>50</v>
      </c>
      <c r="Q61" s="3">
        <f>137.11</f>
        <v>137.11000000000001</v>
      </c>
      <c r="U61" s="16">
        <f t="shared" si="9"/>
        <v>0</v>
      </c>
      <c r="V61" s="45" t="e">
        <f t="shared" si="10"/>
        <v>#DIV/0!</v>
      </c>
    </row>
    <row r="62" spans="1:22" x14ac:dyDescent="0.2">
      <c r="A62" s="3">
        <v>601506</v>
      </c>
      <c r="B62" s="3" t="s">
        <v>334</v>
      </c>
      <c r="C62" s="1">
        <v>623160</v>
      </c>
      <c r="D62" s="1" t="s">
        <v>51</v>
      </c>
      <c r="U62" s="16">
        <f t="shared" si="9"/>
        <v>0</v>
      </c>
      <c r="V62" s="45" t="e">
        <f t="shared" si="10"/>
        <v>#DIV/0!</v>
      </c>
    </row>
    <row r="63" spans="1:22" x14ac:dyDescent="0.2">
      <c r="A63" s="3">
        <v>601508</v>
      </c>
      <c r="B63" s="3" t="s">
        <v>307</v>
      </c>
      <c r="C63" s="1">
        <v>624100</v>
      </c>
      <c r="D63" s="1" t="s">
        <v>52</v>
      </c>
      <c r="E63" s="22">
        <v>687.5</v>
      </c>
      <c r="F63" s="22">
        <v>562.5</v>
      </c>
      <c r="G63" s="22">
        <v>566.52</v>
      </c>
      <c r="H63" s="22">
        <v>-4.0200000000000005</v>
      </c>
      <c r="I63" s="22"/>
      <c r="J63" s="22"/>
      <c r="K63" s="22"/>
      <c r="L63" s="22"/>
      <c r="M63" s="22"/>
      <c r="N63" s="22"/>
      <c r="O63" s="22">
        <f>3.62</f>
        <v>3.62</v>
      </c>
      <c r="P63" s="22">
        <f>87.3</f>
        <v>87.3</v>
      </c>
      <c r="Q63" s="22">
        <f>25.97</f>
        <v>25.97</v>
      </c>
      <c r="R63" s="22">
        <v>95.84</v>
      </c>
      <c r="S63" s="22">
        <f>93.06</f>
        <v>93.06</v>
      </c>
      <c r="T63" s="22">
        <v>49.66</v>
      </c>
      <c r="U63" s="16">
        <f t="shared" si="9"/>
        <v>-43.400000000000006</v>
      </c>
      <c r="V63" s="45">
        <f t="shared" si="10"/>
        <v>-0.46636578551472174</v>
      </c>
    </row>
    <row r="64" spans="1:22" x14ac:dyDescent="0.2">
      <c r="A64" s="3">
        <v>601508</v>
      </c>
      <c r="B64" s="3" t="s">
        <v>307</v>
      </c>
      <c r="C64" s="1">
        <v>624120</v>
      </c>
      <c r="D64" s="1" t="s">
        <v>53</v>
      </c>
      <c r="E64" s="22">
        <v>1344.48</v>
      </c>
      <c r="F64" s="22"/>
      <c r="G64" s="22"/>
      <c r="H64" s="22"/>
      <c r="I64" s="22"/>
      <c r="J64" s="22"/>
      <c r="K64" s="22"/>
      <c r="L64" s="22"/>
      <c r="M64" s="22"/>
      <c r="N64" s="22"/>
      <c r="O64" s="22"/>
      <c r="P64" s="22"/>
      <c r="Q64" s="22"/>
      <c r="R64" s="22"/>
      <c r="S64" s="22"/>
      <c r="T64" s="22"/>
      <c r="U64" s="16">
        <f t="shared" si="9"/>
        <v>0</v>
      </c>
      <c r="V64" s="45" t="e">
        <f t="shared" si="10"/>
        <v>#DIV/0!</v>
      </c>
    </row>
    <row r="65" spans="1:22" x14ac:dyDescent="0.2">
      <c r="A65" s="3">
        <v>601508</v>
      </c>
      <c r="B65" s="3" t="s">
        <v>307</v>
      </c>
      <c r="C65" s="1">
        <v>624125</v>
      </c>
      <c r="D65" s="1" t="s">
        <v>54</v>
      </c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6">
        <f t="shared" si="9"/>
        <v>0</v>
      </c>
      <c r="V65" s="45" t="e">
        <f t="shared" si="10"/>
        <v>#DIV/0!</v>
      </c>
    </row>
    <row r="66" spans="1:22" x14ac:dyDescent="0.2">
      <c r="C66" s="1"/>
      <c r="D66" s="5" t="s">
        <v>230</v>
      </c>
      <c r="E66" s="6">
        <f>SUM(E27:E65)</f>
        <v>339124.63</v>
      </c>
      <c r="F66" s="6">
        <f>SUM(F27:F65)</f>
        <v>326228.7900000001</v>
      </c>
      <c r="G66" s="6">
        <f t="shared" ref="G66:U66" si="11">SUM(G27:G65)</f>
        <v>267476.41000000003</v>
      </c>
      <c r="H66" s="6">
        <f t="shared" si="11"/>
        <v>216507.69000000006</v>
      </c>
      <c r="I66" s="6">
        <f t="shared" si="11"/>
        <v>215264.14000000004</v>
      </c>
      <c r="J66" s="6">
        <f t="shared" si="11"/>
        <v>164420.75999999995</v>
      </c>
      <c r="K66" s="6">
        <f t="shared" si="11"/>
        <v>161811.98000000001</v>
      </c>
      <c r="L66" s="6">
        <f t="shared" si="11"/>
        <v>194254.03999999998</v>
      </c>
      <c r="M66" s="6">
        <f t="shared" si="11"/>
        <v>177005.23</v>
      </c>
      <c r="N66" s="6">
        <f t="shared" si="11"/>
        <v>274407.26999999996</v>
      </c>
      <c r="O66" s="6">
        <f t="shared" si="11"/>
        <v>217818.03000000006</v>
      </c>
      <c r="P66" s="6">
        <f t="shared" si="11"/>
        <v>287031.88</v>
      </c>
      <c r="Q66" s="6">
        <f t="shared" si="11"/>
        <v>297940.83999999997</v>
      </c>
      <c r="R66" s="6">
        <f t="shared" si="11"/>
        <v>311604.86000000004</v>
      </c>
      <c r="S66" s="6">
        <f t="shared" si="11"/>
        <v>338750.63999999996</v>
      </c>
      <c r="T66" s="6">
        <f t="shared" si="11"/>
        <v>174739.1</v>
      </c>
      <c r="U66" s="17">
        <f t="shared" si="11"/>
        <v>-164011.54000000004</v>
      </c>
      <c r="V66" s="45">
        <f t="shared" si="10"/>
        <v>-0.48416599301480306</v>
      </c>
    </row>
    <row r="67" spans="1:22" x14ac:dyDescent="0.2">
      <c r="A67" s="3">
        <v>602400</v>
      </c>
      <c r="B67" s="3" t="s">
        <v>499</v>
      </c>
      <c r="C67" s="1">
        <v>625100</v>
      </c>
      <c r="D67" s="1" t="s">
        <v>55</v>
      </c>
      <c r="E67" s="22">
        <v>7423.369999999999</v>
      </c>
      <c r="F67" s="22">
        <v>6375.2700000000013</v>
      </c>
      <c r="G67" s="22">
        <v>7063.96</v>
      </c>
      <c r="H67" s="22">
        <v>7423.0199999999986</v>
      </c>
      <c r="I67" s="22">
        <v>7587.2099999999991</v>
      </c>
      <c r="J67" s="22">
        <v>7513.97</v>
      </c>
      <c r="K67" s="22">
        <v>8520.6299999999992</v>
      </c>
      <c r="L67" s="22">
        <v>7597.53</v>
      </c>
      <c r="M67" s="22">
        <v>6839.2</v>
      </c>
      <c r="N67" s="42">
        <v>8666.75</v>
      </c>
      <c r="O67" s="48">
        <f>5988.67+329.56</f>
        <v>6318.2300000000005</v>
      </c>
      <c r="P67" s="48">
        <f>5457.21+293.56</f>
        <v>5750.77</v>
      </c>
      <c r="Q67" s="49">
        <f>5088.68+287.73</f>
        <v>5376.41</v>
      </c>
      <c r="R67" s="41">
        <f>4953.81+503.74</f>
        <v>5457.55</v>
      </c>
      <c r="S67" s="41">
        <f>5914.53+615.86</f>
        <v>6530.3899999999994</v>
      </c>
      <c r="T67" s="41">
        <f>4794.6+445.21</f>
        <v>5239.8100000000004</v>
      </c>
      <c r="U67" s="16">
        <f t="shared" ref="U67:U77" si="12">T67-S67</f>
        <v>-1290.579999999999</v>
      </c>
      <c r="V67" s="45">
        <f t="shared" ref="V67:V78" si="13">U67/S67</f>
        <v>-0.19762678798662853</v>
      </c>
    </row>
    <row r="68" spans="1:22" x14ac:dyDescent="0.2">
      <c r="A68" s="3">
        <v>602500</v>
      </c>
      <c r="B68" s="3" t="s">
        <v>336</v>
      </c>
      <c r="C68" s="1">
        <v>626100</v>
      </c>
      <c r="D68" s="1" t="s">
        <v>56</v>
      </c>
      <c r="E68" s="22">
        <v>-9412.2100000000009</v>
      </c>
      <c r="F68" s="22">
        <v>402.64</v>
      </c>
      <c r="G68" s="22">
        <v>110.39</v>
      </c>
      <c r="H68" s="22">
        <v>-245.83</v>
      </c>
      <c r="I68" s="22">
        <v>264.64999999999998</v>
      </c>
      <c r="J68" s="22">
        <v>59.3</v>
      </c>
      <c r="K68" s="22">
        <v>44.09</v>
      </c>
      <c r="L68" s="22">
        <v>159.16</v>
      </c>
      <c r="M68" s="22">
        <v>355.56</v>
      </c>
      <c r="N68" s="42">
        <f>-72.93+35.44</f>
        <v>-37.490000000000009</v>
      </c>
      <c r="O68" s="48">
        <f>231.4+22.27+1.35-0.01</f>
        <v>255.01000000000002</v>
      </c>
      <c r="P68" s="48">
        <f>17.75+(-0.77)+10.32-0.02</f>
        <v>27.28</v>
      </c>
      <c r="Q68" s="49">
        <f>117.78+100.92+0.87</f>
        <v>219.57</v>
      </c>
      <c r="R68" s="41">
        <f>148.36+11.86+128.05</f>
        <v>288.27000000000004</v>
      </c>
      <c r="S68" s="41">
        <f>61.62+(-28.71)+181.1+0.01</f>
        <v>214.01999999999998</v>
      </c>
      <c r="T68" s="41">
        <f>217.1+117.87+34.26+0.02</f>
        <v>369.25</v>
      </c>
      <c r="U68" s="16">
        <f t="shared" si="12"/>
        <v>155.23000000000002</v>
      </c>
      <c r="V68" s="45">
        <f t="shared" si="13"/>
        <v>0.72530604616391003</v>
      </c>
    </row>
    <row r="69" spans="1:22" x14ac:dyDescent="0.2">
      <c r="A69" s="3">
        <v>602100</v>
      </c>
      <c r="B69" s="3" t="s">
        <v>57</v>
      </c>
      <c r="C69" s="1">
        <v>626110</v>
      </c>
      <c r="D69" s="1" t="s">
        <v>57</v>
      </c>
      <c r="E69" s="22">
        <v>193.35999999999999</v>
      </c>
      <c r="F69" s="22">
        <v>426.63000000000005</v>
      </c>
      <c r="G69" s="22">
        <v>481.8</v>
      </c>
      <c r="H69" s="22">
        <v>718.36000000000013</v>
      </c>
      <c r="I69" s="22">
        <v>1096.49</v>
      </c>
      <c r="J69" s="22">
        <v>915.26</v>
      </c>
      <c r="K69" s="22">
        <v>724.36</v>
      </c>
      <c r="L69" s="22">
        <v>557.29</v>
      </c>
      <c r="M69" s="22">
        <v>377.57</v>
      </c>
      <c r="N69" s="42">
        <v>408.38</v>
      </c>
      <c r="O69" s="48">
        <f>497.44+46.7</f>
        <v>544.14</v>
      </c>
      <c r="P69" s="48">
        <f>340.46+44.57</f>
        <v>385.03</v>
      </c>
      <c r="Q69" s="49">
        <f>521.86+45.53</f>
        <v>567.39</v>
      </c>
      <c r="R69" s="41">
        <f>651.49+76.02</f>
        <v>727.51</v>
      </c>
      <c r="S69" s="41">
        <f>725.36+113.99</f>
        <v>839.35</v>
      </c>
      <c r="T69" s="41">
        <f>721.53+96.94</f>
        <v>818.47</v>
      </c>
      <c r="U69" s="16">
        <f t="shared" si="12"/>
        <v>-20.879999999999995</v>
      </c>
      <c r="V69" s="45">
        <f t="shared" si="13"/>
        <v>-2.4876392446536003E-2</v>
      </c>
    </row>
    <row r="70" spans="1:22" x14ac:dyDescent="0.2">
      <c r="A70" s="3">
        <v>602101</v>
      </c>
      <c r="B70" s="3" t="s">
        <v>58</v>
      </c>
      <c r="C70" s="1">
        <v>626120</v>
      </c>
      <c r="D70" s="1" t="s">
        <v>58</v>
      </c>
      <c r="E70" s="22">
        <v>103491.26000000001</v>
      </c>
      <c r="F70" s="22">
        <v>113921.53</v>
      </c>
      <c r="G70" s="22">
        <v>113755.29000000001</v>
      </c>
      <c r="H70" s="22">
        <v>106325.12</v>
      </c>
      <c r="I70" s="22">
        <v>122349.42</v>
      </c>
      <c r="J70" s="22">
        <v>117971.48999999998</v>
      </c>
      <c r="K70" s="22">
        <v>107348.95999999999</v>
      </c>
      <c r="L70" s="22">
        <v>115396.64000000001</v>
      </c>
      <c r="M70" s="22">
        <v>107224.00000000003</v>
      </c>
      <c r="N70" s="42">
        <v>118163.73</v>
      </c>
      <c r="O70" s="48">
        <f>122865.93+12317.38</f>
        <v>135183.31</v>
      </c>
      <c r="P70" s="48">
        <f>115283.33+12461.24</f>
        <v>127744.57</v>
      </c>
      <c r="Q70" s="49">
        <f>119830.03+12699.4</f>
        <v>132529.43</v>
      </c>
      <c r="R70" s="41">
        <f>130102.67+20545.59</f>
        <v>150648.26</v>
      </c>
      <c r="S70" s="41">
        <f>130397.59+25845.74</f>
        <v>156243.32999999999</v>
      </c>
      <c r="T70" s="41">
        <f>134544.13+20781.81</f>
        <v>155325.94</v>
      </c>
      <c r="U70" s="16">
        <f t="shared" si="12"/>
        <v>-917.38999999998487</v>
      </c>
      <c r="V70" s="45">
        <f t="shared" si="13"/>
        <v>-5.8715466445830675E-3</v>
      </c>
    </row>
    <row r="71" spans="1:22" x14ac:dyDescent="0.2">
      <c r="A71" s="3">
        <v>602200</v>
      </c>
      <c r="B71" s="3" t="s">
        <v>59</v>
      </c>
      <c r="C71" s="1">
        <v>626130</v>
      </c>
      <c r="D71" s="1" t="s">
        <v>59</v>
      </c>
      <c r="E71" s="22">
        <v>1647.0900000000001</v>
      </c>
      <c r="F71" s="22">
        <v>679.64</v>
      </c>
      <c r="G71" s="22">
        <v>538.53000000000009</v>
      </c>
      <c r="H71" s="22">
        <v>698.82</v>
      </c>
      <c r="I71" s="22">
        <v>1528.2299999999998</v>
      </c>
      <c r="J71" s="22">
        <v>914.0200000000001</v>
      </c>
      <c r="K71" s="22">
        <v>1153.1100000000001</v>
      </c>
      <c r="L71" s="22">
        <v>1375.37</v>
      </c>
      <c r="M71" s="22">
        <v>683.58</v>
      </c>
      <c r="N71" s="42">
        <v>895.02999999999986</v>
      </c>
      <c r="O71" s="48">
        <f>785.59+56.84</f>
        <v>842.43000000000006</v>
      </c>
      <c r="P71" s="48">
        <f>454.97+34.19</f>
        <v>489.16</v>
      </c>
      <c r="Q71" s="49">
        <f>1650.96+129.1</f>
        <v>1780.06</v>
      </c>
      <c r="R71" s="41">
        <f>1397.48+189.76</f>
        <v>1587.24</v>
      </c>
      <c r="S71" s="41">
        <f>27.94+3.04</f>
        <v>30.98</v>
      </c>
      <c r="T71" s="41">
        <f>375.51+46.81</f>
        <v>422.32</v>
      </c>
      <c r="U71" s="16">
        <f t="shared" si="12"/>
        <v>391.34</v>
      </c>
      <c r="V71" s="45">
        <f t="shared" si="13"/>
        <v>12.632020658489347</v>
      </c>
    </row>
    <row r="72" spans="1:22" x14ac:dyDescent="0.2">
      <c r="A72" s="3">
        <v>602300</v>
      </c>
      <c r="B72" s="3" t="s">
        <v>60</v>
      </c>
      <c r="C72" s="1">
        <v>626141</v>
      </c>
      <c r="D72" s="1" t="s">
        <v>60</v>
      </c>
      <c r="E72" s="22">
        <v>46265.859999999993</v>
      </c>
      <c r="F72" s="22">
        <v>43669.170000000006</v>
      </c>
      <c r="G72" s="22">
        <v>41177.439999999995</v>
      </c>
      <c r="H72" s="22">
        <v>39791.94</v>
      </c>
      <c r="I72" s="22">
        <v>38493.459999999992</v>
      </c>
      <c r="J72" s="22">
        <v>39023.57</v>
      </c>
      <c r="K72" s="22">
        <v>39168.47</v>
      </c>
      <c r="L72" s="22">
        <v>40094.18</v>
      </c>
      <c r="M72" s="22">
        <v>38972.759999999995</v>
      </c>
      <c r="N72" s="42">
        <v>40452.710000000006</v>
      </c>
      <c r="O72" s="48">
        <f>44738.02+2910.05</f>
        <v>47648.07</v>
      </c>
      <c r="P72" s="48">
        <f>42001.22+2804.45</f>
        <v>44805.67</v>
      </c>
      <c r="Q72" s="49">
        <f>45538.13+3004.53</f>
        <v>48542.659999999996</v>
      </c>
      <c r="R72" s="41">
        <f>44830.14+5300.65</f>
        <v>50130.79</v>
      </c>
      <c r="S72" s="41">
        <f>48203.27+5963.72</f>
        <v>54166.99</v>
      </c>
      <c r="T72" s="41">
        <f>42921.24+4933.09</f>
        <v>47854.33</v>
      </c>
      <c r="U72" s="16">
        <f t="shared" si="12"/>
        <v>-6312.6599999999962</v>
      </c>
      <c r="V72" s="45">
        <f t="shared" si="13"/>
        <v>-0.11654071972616527</v>
      </c>
    </row>
    <row r="73" spans="1:22" x14ac:dyDescent="0.2">
      <c r="A73" s="3">
        <v>602301</v>
      </c>
      <c r="B73" s="3" t="s">
        <v>61</v>
      </c>
      <c r="C73" s="1">
        <v>626142</v>
      </c>
      <c r="D73" s="1" t="s">
        <v>61</v>
      </c>
      <c r="E73" s="22">
        <v>10820.2</v>
      </c>
      <c r="F73" s="22">
        <v>10212.920000000002</v>
      </c>
      <c r="G73" s="22">
        <v>9630.2300000000014</v>
      </c>
      <c r="H73" s="22">
        <v>9306.08</v>
      </c>
      <c r="I73" s="22">
        <v>9002.59</v>
      </c>
      <c r="J73" s="22">
        <v>9126.4699999999993</v>
      </c>
      <c r="K73" s="22">
        <v>9160.3900000000012</v>
      </c>
      <c r="L73" s="22">
        <v>9376.909999999998</v>
      </c>
      <c r="M73" s="22">
        <v>9114.5</v>
      </c>
      <c r="N73" s="42">
        <v>9460.7799999999988</v>
      </c>
      <c r="O73" s="48">
        <f>10462.99+686.11</f>
        <v>11149.1</v>
      </c>
      <c r="P73" s="48">
        <f>9822.85+660.26</f>
        <v>10483.11</v>
      </c>
      <c r="Q73" s="49">
        <f>10650.04+707.41</f>
        <v>11357.45</v>
      </c>
      <c r="R73" s="41">
        <f>10484.45+1251.25</f>
        <v>11735.7</v>
      </c>
      <c r="S73" s="41">
        <f>11273.38+1410.39</f>
        <v>12683.769999999999</v>
      </c>
      <c r="T73" s="41">
        <f>10037.99+1157.17</f>
        <v>11195.16</v>
      </c>
      <c r="U73" s="16">
        <f t="shared" si="12"/>
        <v>-1488.6099999999988</v>
      </c>
      <c r="V73" s="45">
        <f t="shared" si="13"/>
        <v>-0.11736337066976135</v>
      </c>
    </row>
    <row r="74" spans="1:22" x14ac:dyDescent="0.2">
      <c r="A74" s="3">
        <v>602001</v>
      </c>
      <c r="B74" s="3" t="s">
        <v>62</v>
      </c>
      <c r="C74" s="1">
        <v>626171</v>
      </c>
      <c r="D74" s="1" t="s">
        <v>62</v>
      </c>
      <c r="E74" s="22">
        <v>67578.27</v>
      </c>
      <c r="F74" s="22">
        <v>66061.960000000006</v>
      </c>
      <c r="G74" s="22">
        <v>78445.31</v>
      </c>
      <c r="H74" s="22">
        <v>53629.86</v>
      </c>
      <c r="I74" s="22">
        <v>57610.14</v>
      </c>
      <c r="J74" s="22">
        <v>86887.999999999985</v>
      </c>
      <c r="K74" s="22">
        <v>78873.7</v>
      </c>
      <c r="L74" s="22">
        <v>133580.38</v>
      </c>
      <c r="M74" s="22">
        <v>183120.31</v>
      </c>
      <c r="N74" s="42">
        <v>202326.99000000002</v>
      </c>
      <c r="O74" s="48">
        <f>270040.36+23620.83</f>
        <v>293661.19</v>
      </c>
      <c r="P74" s="48">
        <f>259118.38+22979.88</f>
        <v>282098.26</v>
      </c>
      <c r="Q74" s="49">
        <f>289602.75+25118.28</f>
        <v>314721.03000000003</v>
      </c>
      <c r="R74" s="41">
        <f>318379.58+55149.73</f>
        <v>373529.31</v>
      </c>
      <c r="S74" s="41">
        <f>313525.49+60974.96</f>
        <v>374500.45</v>
      </c>
      <c r="T74" s="41">
        <f>278271.58+51699.36</f>
        <v>329970.94</v>
      </c>
      <c r="U74" s="16">
        <f t="shared" si="12"/>
        <v>-44529.510000000009</v>
      </c>
      <c r="V74" s="45">
        <f t="shared" si="13"/>
        <v>-0.11890375565636839</v>
      </c>
    </row>
    <row r="75" spans="1:22" x14ac:dyDescent="0.2">
      <c r="A75" s="3">
        <v>602000</v>
      </c>
      <c r="B75" s="3" t="s">
        <v>63</v>
      </c>
      <c r="C75" s="1">
        <v>626172</v>
      </c>
      <c r="D75" s="1" t="s">
        <v>63</v>
      </c>
      <c r="E75" s="22">
        <v>36587.21</v>
      </c>
      <c r="F75" s="22">
        <v>44001.170000000013</v>
      </c>
      <c r="G75" s="22">
        <v>37220.439999999995</v>
      </c>
      <c r="H75" s="22">
        <v>41088.769999999997</v>
      </c>
      <c r="I75" s="22">
        <v>45669.59</v>
      </c>
      <c r="J75" s="22">
        <v>38847.759999999995</v>
      </c>
      <c r="K75" s="22">
        <v>28287.039999999994</v>
      </c>
      <c r="L75" s="22">
        <v>29792.68</v>
      </c>
      <c r="M75" s="22">
        <v>27999.119999999995</v>
      </c>
      <c r="N75" s="42">
        <v>28443.200000000001</v>
      </c>
      <c r="O75" s="48">
        <f>25958.23+733.39</f>
        <v>26691.62</v>
      </c>
      <c r="P75" s="48">
        <f>23220.9+820.95</f>
        <v>24041.850000000002</v>
      </c>
      <c r="Q75" s="49">
        <f>29122.15+1126.17</f>
        <v>30248.32</v>
      </c>
      <c r="R75" s="41">
        <f>26924.82+1402.95</f>
        <v>28327.77</v>
      </c>
      <c r="S75" s="41">
        <f>35275.34+1376.77</f>
        <v>36652.109999999993</v>
      </c>
      <c r="T75" s="41">
        <f>38045.7+993.89</f>
        <v>39039.589999999997</v>
      </c>
      <c r="U75" s="16">
        <f t="shared" si="12"/>
        <v>2387.4800000000032</v>
      </c>
      <c r="V75" s="45">
        <f t="shared" si="13"/>
        <v>6.5138951072666859E-2</v>
      </c>
    </row>
    <row r="76" spans="1:22" x14ac:dyDescent="0.2">
      <c r="A76" s="3">
        <v>602501</v>
      </c>
      <c r="B76" s="3" t="s">
        <v>434</v>
      </c>
      <c r="C76" s="1">
        <v>626200</v>
      </c>
      <c r="D76" s="1" t="s">
        <v>65</v>
      </c>
      <c r="E76" s="22">
        <v>-21421.49</v>
      </c>
      <c r="F76" s="22">
        <v>16682.57</v>
      </c>
      <c r="G76" s="22">
        <v>-837.86</v>
      </c>
      <c r="H76" s="22">
        <v>-12481.89</v>
      </c>
      <c r="I76" s="22">
        <v>2911.63</v>
      </c>
      <c r="J76" s="22">
        <v>2322.11</v>
      </c>
      <c r="K76" s="22">
        <v>5036.1500000000005</v>
      </c>
      <c r="L76" s="22">
        <v>12822.7</v>
      </c>
      <c r="M76" s="22">
        <v>1760.55</v>
      </c>
      <c r="N76" s="42">
        <v>18023.939999999999</v>
      </c>
      <c r="O76" s="48">
        <f>-17452.17+(-54.88)</f>
        <v>-17507.05</v>
      </c>
      <c r="P76" s="48">
        <f>10957.91+45.24</f>
        <v>11003.15</v>
      </c>
      <c r="Q76" s="49">
        <f>21388.87+515.72</f>
        <v>21904.59</v>
      </c>
      <c r="R76" s="41">
        <f>6047.96+459.49</f>
        <v>6507.45</v>
      </c>
      <c r="S76" s="41">
        <f>21566.03+555.91</f>
        <v>22121.94</v>
      </c>
      <c r="T76" s="41">
        <f>18453.41+855.99</f>
        <v>19309.400000000001</v>
      </c>
      <c r="U76" s="16">
        <f t="shared" si="12"/>
        <v>-2812.5399999999972</v>
      </c>
      <c r="V76" s="45">
        <f t="shared" si="13"/>
        <v>-0.1271380358142187</v>
      </c>
    </row>
    <row r="77" spans="1:22" x14ac:dyDescent="0.2">
      <c r="A77" s="3">
        <v>602503</v>
      </c>
      <c r="B77" s="3" t="s">
        <v>67</v>
      </c>
      <c r="C77" s="1">
        <v>626300</v>
      </c>
      <c r="D77" s="1" t="s">
        <v>67</v>
      </c>
      <c r="E77" s="22">
        <v>1231.4100000000001</v>
      </c>
      <c r="F77" s="22">
        <v>-357.83</v>
      </c>
      <c r="G77" s="22">
        <v>1104.97</v>
      </c>
      <c r="H77" s="22">
        <v>-811.95</v>
      </c>
      <c r="I77" s="22">
        <v>-95.210000000000008</v>
      </c>
      <c r="J77" s="22">
        <v>-609.76</v>
      </c>
      <c r="K77" s="22">
        <v>-0.09</v>
      </c>
      <c r="L77" s="22">
        <v>877.34</v>
      </c>
      <c r="M77" s="22">
        <v>423.27</v>
      </c>
      <c r="N77" s="42">
        <v>-228.70000000000002</v>
      </c>
      <c r="O77" s="48">
        <f>243.25+12.32</f>
        <v>255.57</v>
      </c>
      <c r="P77" s="48">
        <f>1277.29+199.79</f>
        <v>1477.08</v>
      </c>
      <c r="Q77" s="49">
        <f>-92.09+194.76</f>
        <v>102.66999999999999</v>
      </c>
      <c r="R77" s="41">
        <f>-275.54-269.01</f>
        <v>-544.54999999999995</v>
      </c>
      <c r="S77" s="41">
        <f>3447.76+72.28</f>
        <v>3520.0400000000004</v>
      </c>
      <c r="T77" s="41">
        <f>1469.46+116.83</f>
        <v>1586.29</v>
      </c>
      <c r="U77" s="16">
        <f t="shared" si="12"/>
        <v>-1933.7500000000005</v>
      </c>
      <c r="V77" s="45">
        <f t="shared" si="13"/>
        <v>-0.54935455278917289</v>
      </c>
    </row>
    <row r="78" spans="1:22" x14ac:dyDescent="0.2">
      <c r="C78" s="1"/>
      <c r="D78" s="5" t="s">
        <v>231</v>
      </c>
      <c r="E78" s="6">
        <f t="shared" ref="E78:U78" si="14">SUM(E67:E77)</f>
        <v>244404.33000000005</v>
      </c>
      <c r="F78" s="6">
        <f t="shared" si="14"/>
        <v>302075.67000000004</v>
      </c>
      <c r="G78" s="6">
        <f t="shared" si="14"/>
        <v>288690.5</v>
      </c>
      <c r="H78" s="6">
        <f t="shared" si="14"/>
        <v>245442.3</v>
      </c>
      <c r="I78" s="6">
        <f t="shared" si="14"/>
        <v>286418.2</v>
      </c>
      <c r="J78" s="6">
        <f t="shared" si="14"/>
        <v>302972.18999999994</v>
      </c>
      <c r="K78" s="6">
        <f t="shared" si="14"/>
        <v>278316.81</v>
      </c>
      <c r="L78" s="6">
        <f t="shared" si="14"/>
        <v>351630.18000000005</v>
      </c>
      <c r="M78" s="6">
        <f t="shared" si="14"/>
        <v>376870.42000000004</v>
      </c>
      <c r="N78" s="6">
        <f t="shared" si="14"/>
        <v>426575.32</v>
      </c>
      <c r="O78" s="6">
        <f t="shared" si="14"/>
        <v>505041.62</v>
      </c>
      <c r="P78" s="6">
        <f t="shared" si="14"/>
        <v>508305.93</v>
      </c>
      <c r="Q78" s="6">
        <f t="shared" si="14"/>
        <v>567349.57999999996</v>
      </c>
      <c r="R78" s="6">
        <f t="shared" si="14"/>
        <v>628395.29999999993</v>
      </c>
      <c r="S78" s="6">
        <f t="shared" si="14"/>
        <v>667503.37</v>
      </c>
      <c r="T78" s="6">
        <f t="shared" si="14"/>
        <v>611131.5</v>
      </c>
      <c r="U78" s="17">
        <f t="shared" si="14"/>
        <v>-56371.869999999981</v>
      </c>
      <c r="V78" s="45">
        <f t="shared" si="13"/>
        <v>-8.445181332942181E-2</v>
      </c>
    </row>
    <row r="79" spans="1:22" x14ac:dyDescent="0.2">
      <c r="C79" s="1"/>
      <c r="D79" s="1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8"/>
      <c r="V79" s="45"/>
    </row>
    <row r="80" spans="1:22" x14ac:dyDescent="0.2">
      <c r="C80" s="1"/>
      <c r="D80" s="5" t="s">
        <v>232</v>
      </c>
      <c r="E80" s="7">
        <f t="shared" ref="E80:U80" si="15">E26+E66+E78</f>
        <v>1148962.52</v>
      </c>
      <c r="F80" s="7">
        <f t="shared" si="15"/>
        <v>1207997.8999999999</v>
      </c>
      <c r="G80" s="7">
        <f t="shared" si="15"/>
        <v>1114192</v>
      </c>
      <c r="H80" s="7">
        <f t="shared" si="15"/>
        <v>1034695.2</v>
      </c>
      <c r="I80" s="7">
        <f t="shared" si="15"/>
        <v>1066941.82</v>
      </c>
      <c r="J80" s="7">
        <f t="shared" si="15"/>
        <v>1053731.3599999999</v>
      </c>
      <c r="K80" s="7">
        <f t="shared" si="15"/>
        <v>1020407.46</v>
      </c>
      <c r="L80" s="7">
        <f t="shared" si="15"/>
        <v>1123263.31</v>
      </c>
      <c r="M80" s="7">
        <f t="shared" si="15"/>
        <v>1122522.27</v>
      </c>
      <c r="N80" s="7">
        <f t="shared" si="15"/>
        <v>1339813.74</v>
      </c>
      <c r="O80" s="7">
        <f t="shared" si="15"/>
        <v>1443692.38</v>
      </c>
      <c r="P80" s="7">
        <f t="shared" si="15"/>
        <v>1476134.57</v>
      </c>
      <c r="Q80" s="7">
        <f t="shared" si="15"/>
        <v>1596732.52</v>
      </c>
      <c r="R80" s="7">
        <f t="shared" si="15"/>
        <v>1665207.33</v>
      </c>
      <c r="S80" s="7">
        <f t="shared" si="15"/>
        <v>1808318.17</v>
      </c>
      <c r="T80" s="7">
        <f t="shared" si="15"/>
        <v>1527823.67</v>
      </c>
      <c r="U80" s="19">
        <f t="shared" si="15"/>
        <v>-280494.49999999988</v>
      </c>
      <c r="V80" s="45">
        <f t="shared" ref="V80:V81" si="16">U80/S80</f>
        <v>-0.15511346656434907</v>
      </c>
    </row>
    <row r="81" spans="1:22" x14ac:dyDescent="0.2">
      <c r="A81" s="3">
        <v>703000</v>
      </c>
      <c r="B81" s="3" t="s">
        <v>353</v>
      </c>
      <c r="C81" s="1">
        <v>711100</v>
      </c>
      <c r="D81" s="1" t="s">
        <v>68</v>
      </c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6">
        <f t="shared" ref="U81" si="17">T81-S81</f>
        <v>0</v>
      </c>
      <c r="V81" s="45" t="e">
        <f t="shared" si="16"/>
        <v>#DIV/0!</v>
      </c>
    </row>
    <row r="82" spans="1:22" x14ac:dyDescent="0.2">
      <c r="A82" s="3">
        <v>704600</v>
      </c>
      <c r="B82" s="3" t="s">
        <v>355</v>
      </c>
      <c r="C82" s="1">
        <v>711500</v>
      </c>
      <c r="D82" s="1" t="s">
        <v>69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6">
        <f t="shared" ref="U82:U145" si="18">T82-S82</f>
        <v>0</v>
      </c>
      <c r="V82" s="45" t="e">
        <f t="shared" ref="V82:V145" si="19">U82/S82</f>
        <v>#DIV/0!</v>
      </c>
    </row>
    <row r="83" spans="1:22" x14ac:dyDescent="0.2">
      <c r="A83" s="3">
        <v>702000</v>
      </c>
      <c r="B83" s="3" t="s">
        <v>266</v>
      </c>
      <c r="C83" s="57">
        <v>712100</v>
      </c>
      <c r="D83" s="57" t="s">
        <v>266</v>
      </c>
      <c r="E83" s="22">
        <v>3889952.45</v>
      </c>
      <c r="F83" s="22">
        <v>4375620.2</v>
      </c>
      <c r="G83" s="22">
        <v>4674141.5999999996</v>
      </c>
      <c r="H83" s="22">
        <v>4770043.2300000004</v>
      </c>
      <c r="I83" s="22">
        <v>5101635.76</v>
      </c>
      <c r="J83" s="22">
        <v>5231351.5199999996</v>
      </c>
      <c r="K83" s="22">
        <v>5125039.29</v>
      </c>
      <c r="L83" s="22">
        <v>5394489.6200000001</v>
      </c>
      <c r="M83" s="22">
        <v>5616929.6399999997</v>
      </c>
      <c r="N83" s="43">
        <v>5913737.2000000002</v>
      </c>
      <c r="O83" s="42">
        <v>6526049</v>
      </c>
      <c r="P83" s="42">
        <v>8417859.5899999999</v>
      </c>
      <c r="Q83" s="49">
        <v>8846289.0199999996</v>
      </c>
      <c r="R83" s="41">
        <v>9202735.8000000007</v>
      </c>
      <c r="S83" s="41">
        <v>8186986.1500000004</v>
      </c>
      <c r="T83" s="41">
        <v>6553428.6799999997</v>
      </c>
      <c r="U83" s="16">
        <f t="shared" si="18"/>
        <v>-1633557.4700000007</v>
      </c>
      <c r="V83" s="45">
        <f t="shared" si="19"/>
        <v>-0.19953099224431944</v>
      </c>
    </row>
    <row r="84" spans="1:22" x14ac:dyDescent="0.2">
      <c r="A84" s="3">
        <v>702106</v>
      </c>
      <c r="B84" s="3" t="s">
        <v>351</v>
      </c>
      <c r="C84" s="1">
        <v>713100</v>
      </c>
      <c r="D84" s="1" t="s">
        <v>70</v>
      </c>
      <c r="E84" s="22">
        <v>42908.11</v>
      </c>
      <c r="F84" s="22">
        <v>34576.320000000007</v>
      </c>
      <c r="G84" s="22">
        <v>31595.230000000003</v>
      </c>
      <c r="H84" s="22">
        <v>31171.91</v>
      </c>
      <c r="I84" s="22">
        <v>24084.640000000003</v>
      </c>
      <c r="J84" s="22">
        <v>33576.480000000003</v>
      </c>
      <c r="K84" s="22">
        <v>39415.879999999997</v>
      </c>
      <c r="L84" s="22">
        <v>35060.800000000003</v>
      </c>
      <c r="M84" s="22">
        <v>27915.86</v>
      </c>
      <c r="N84" s="43">
        <v>37088.93</v>
      </c>
      <c r="O84" s="42">
        <v>39788.76</v>
      </c>
      <c r="P84" s="42">
        <v>42110.6</v>
      </c>
      <c r="Q84" s="49">
        <v>55094.77</v>
      </c>
      <c r="R84" s="41">
        <v>53890.840000000004</v>
      </c>
      <c r="S84" s="41">
        <v>46835.61</v>
      </c>
      <c r="T84" s="41">
        <v>4940.45</v>
      </c>
      <c r="U84" s="16">
        <f t="shared" si="18"/>
        <v>-41895.160000000003</v>
      </c>
      <c r="V84" s="45">
        <f t="shared" si="19"/>
        <v>-0.89451509225565762</v>
      </c>
    </row>
    <row r="85" spans="1:22" x14ac:dyDescent="0.2">
      <c r="A85" s="3">
        <v>702106</v>
      </c>
      <c r="B85" s="3" t="s">
        <v>351</v>
      </c>
      <c r="C85" s="1">
        <v>713101</v>
      </c>
      <c r="D85" s="1" t="s">
        <v>71</v>
      </c>
      <c r="R85" s="41"/>
      <c r="S85" s="41"/>
      <c r="T85" s="41"/>
      <c r="U85" s="16">
        <f t="shared" si="18"/>
        <v>0</v>
      </c>
      <c r="V85" s="45" t="e">
        <f t="shared" si="19"/>
        <v>#DIV/0!</v>
      </c>
    </row>
    <row r="86" spans="1:22" x14ac:dyDescent="0.2">
      <c r="A86" s="3">
        <v>702109</v>
      </c>
      <c r="B86" s="3" t="s">
        <v>72</v>
      </c>
      <c r="C86" s="1">
        <v>713115</v>
      </c>
      <c r="D86" s="1" t="s">
        <v>72</v>
      </c>
      <c r="R86" s="41"/>
      <c r="S86" s="41"/>
      <c r="T86" s="41"/>
      <c r="U86" s="16">
        <f t="shared" si="18"/>
        <v>0</v>
      </c>
      <c r="V86" s="45" t="e">
        <f t="shared" si="19"/>
        <v>#DIV/0!</v>
      </c>
    </row>
    <row r="87" spans="1:22" x14ac:dyDescent="0.2">
      <c r="A87" s="3">
        <v>702111</v>
      </c>
      <c r="B87" s="3" t="s">
        <v>352</v>
      </c>
      <c r="C87" s="1">
        <v>713125</v>
      </c>
      <c r="D87" s="1" t="s">
        <v>73</v>
      </c>
      <c r="R87" s="41"/>
      <c r="S87" s="41"/>
      <c r="T87" s="41"/>
      <c r="U87" s="16">
        <f t="shared" si="18"/>
        <v>0</v>
      </c>
      <c r="V87" s="45" t="e">
        <f t="shared" si="19"/>
        <v>#DIV/0!</v>
      </c>
    </row>
    <row r="88" spans="1:22" x14ac:dyDescent="0.2">
      <c r="A88" s="3">
        <v>702200</v>
      </c>
      <c r="B88" s="3" t="s">
        <v>74</v>
      </c>
      <c r="C88" s="1">
        <v>713135</v>
      </c>
      <c r="D88" s="1" t="s">
        <v>74</v>
      </c>
      <c r="E88" s="22">
        <v>9648.24</v>
      </c>
      <c r="F88" s="22">
        <v>663.65000000000032</v>
      </c>
      <c r="G88" s="22">
        <v>7901.46</v>
      </c>
      <c r="H88" s="22">
        <v>2704.15</v>
      </c>
      <c r="I88" s="22">
        <v>4142.46</v>
      </c>
      <c r="J88" s="22">
        <v>2137.3200000000002</v>
      </c>
      <c r="K88" s="22">
        <v>2515.3000000000002</v>
      </c>
      <c r="L88" s="22">
        <v>2119.33</v>
      </c>
      <c r="M88" s="22">
        <v>551.6</v>
      </c>
      <c r="N88" s="43">
        <v>5877.4</v>
      </c>
      <c r="O88" s="42">
        <v>4466.9799999999996</v>
      </c>
      <c r="P88" s="42">
        <v>1981</v>
      </c>
      <c r="Q88" s="49">
        <v>2391.33</v>
      </c>
      <c r="R88" s="41">
        <v>12726.27</v>
      </c>
      <c r="S88" s="41">
        <v>164.72</v>
      </c>
      <c r="T88" s="41">
        <v>1139.18</v>
      </c>
      <c r="U88" s="16">
        <f t="shared" si="18"/>
        <v>974.46</v>
      </c>
      <c r="V88" s="45">
        <f t="shared" si="19"/>
        <v>5.9158572122389508</v>
      </c>
    </row>
    <row r="89" spans="1:22" x14ac:dyDescent="0.2">
      <c r="A89" s="3">
        <v>702103</v>
      </c>
      <c r="B89" s="3" t="s">
        <v>349</v>
      </c>
      <c r="C89" s="1">
        <v>713140</v>
      </c>
      <c r="D89" s="1" t="s">
        <v>75</v>
      </c>
      <c r="E89" s="22">
        <v>60320.450000000004</v>
      </c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41"/>
      <c r="S89" s="41"/>
      <c r="T89" s="41"/>
      <c r="U89" s="16">
        <f t="shared" si="18"/>
        <v>0</v>
      </c>
      <c r="V89" s="45" t="e">
        <f t="shared" si="19"/>
        <v>#DIV/0!</v>
      </c>
    </row>
    <row r="90" spans="1:22" x14ac:dyDescent="0.2">
      <c r="A90" s="3">
        <v>705700</v>
      </c>
      <c r="B90" s="3" t="s">
        <v>437</v>
      </c>
      <c r="C90" s="1">
        <v>713145</v>
      </c>
      <c r="D90" s="1" t="s">
        <v>76</v>
      </c>
      <c r="R90" s="41"/>
      <c r="S90" s="41"/>
      <c r="T90" s="41"/>
      <c r="U90" s="16">
        <f t="shared" si="18"/>
        <v>0</v>
      </c>
      <c r="V90" s="45" t="e">
        <f t="shared" si="19"/>
        <v>#DIV/0!</v>
      </c>
    </row>
    <row r="91" spans="1:22" x14ac:dyDescent="0.2">
      <c r="A91" s="3">
        <v>701000</v>
      </c>
      <c r="B91" s="3" t="s">
        <v>77</v>
      </c>
      <c r="C91" s="1">
        <v>721100</v>
      </c>
      <c r="D91" s="1" t="s">
        <v>77</v>
      </c>
      <c r="R91" s="41"/>
      <c r="S91" s="41"/>
      <c r="T91" s="41"/>
      <c r="U91" s="16">
        <f t="shared" si="18"/>
        <v>0</v>
      </c>
      <c r="V91" s="45" t="e">
        <f t="shared" si="19"/>
        <v>#DIV/0!</v>
      </c>
    </row>
    <row r="92" spans="1:22" x14ac:dyDescent="0.2">
      <c r="A92" s="3">
        <v>701001</v>
      </c>
      <c r="B92" s="3" t="s">
        <v>78</v>
      </c>
      <c r="C92" s="1">
        <v>721105</v>
      </c>
      <c r="D92" s="1" t="s">
        <v>78</v>
      </c>
      <c r="E92" s="22">
        <v>286.84000000000003</v>
      </c>
      <c r="F92" s="22"/>
      <c r="G92" s="22">
        <v>404.61</v>
      </c>
      <c r="H92" s="22">
        <v>1885.3700000000001</v>
      </c>
      <c r="I92" s="22">
        <v>6351.5</v>
      </c>
      <c r="J92" s="22">
        <v>717.1400000000001</v>
      </c>
      <c r="K92" s="22">
        <v>435.74</v>
      </c>
      <c r="L92" s="22"/>
      <c r="M92" s="22">
        <v>677.9</v>
      </c>
      <c r="N92" s="43">
        <v>3793</v>
      </c>
      <c r="O92" s="42">
        <v>1223.29</v>
      </c>
      <c r="P92" s="42"/>
      <c r="Q92" s="42"/>
      <c r="R92" s="41">
        <v>1942.99</v>
      </c>
      <c r="S92" s="41"/>
      <c r="T92" s="41">
        <v>6144.63</v>
      </c>
      <c r="U92" s="16">
        <f t="shared" si="18"/>
        <v>6144.63</v>
      </c>
      <c r="V92" s="45" t="e">
        <f t="shared" si="19"/>
        <v>#DIV/0!</v>
      </c>
    </row>
    <row r="93" spans="1:22" x14ac:dyDescent="0.2">
      <c r="A93" s="3">
        <v>701200</v>
      </c>
      <c r="B93" s="3" t="s">
        <v>338</v>
      </c>
      <c r="C93" s="1">
        <v>721110</v>
      </c>
      <c r="D93" s="1" t="s">
        <v>79</v>
      </c>
      <c r="R93" s="41"/>
      <c r="S93" s="41"/>
      <c r="T93" s="41"/>
      <c r="U93" s="16">
        <f t="shared" si="18"/>
        <v>0</v>
      </c>
      <c r="V93" s="45" t="e">
        <f t="shared" si="19"/>
        <v>#DIV/0!</v>
      </c>
    </row>
    <row r="94" spans="1:22" x14ac:dyDescent="0.2">
      <c r="A94" s="3">
        <v>701202</v>
      </c>
      <c r="B94" s="3" t="s">
        <v>80</v>
      </c>
      <c r="C94" s="1">
        <v>721115</v>
      </c>
      <c r="D94" s="1" t="s">
        <v>80</v>
      </c>
      <c r="E94" s="22"/>
      <c r="F94" s="22"/>
      <c r="G94" s="22"/>
      <c r="H94" s="22"/>
      <c r="I94" s="22">
        <v>350</v>
      </c>
      <c r="J94" s="22"/>
      <c r="K94" s="22"/>
      <c r="L94" s="22"/>
      <c r="M94" s="22"/>
      <c r="N94" s="22"/>
      <c r="O94" s="22"/>
      <c r="P94" s="22"/>
      <c r="Q94" s="22"/>
      <c r="R94" s="41"/>
      <c r="S94" s="41"/>
      <c r="T94" s="41"/>
      <c r="U94" s="16">
        <f t="shared" si="18"/>
        <v>0</v>
      </c>
      <c r="V94" s="45" t="e">
        <f t="shared" si="19"/>
        <v>#DIV/0!</v>
      </c>
    </row>
    <row r="95" spans="1:22" x14ac:dyDescent="0.2">
      <c r="A95" s="3">
        <v>701404</v>
      </c>
      <c r="B95" s="3" t="s">
        <v>343</v>
      </c>
      <c r="C95" s="1">
        <v>721120</v>
      </c>
      <c r="D95" s="1" t="s">
        <v>81</v>
      </c>
      <c r="P95" s="42">
        <v>2387</v>
      </c>
      <c r="Q95" s="42"/>
      <c r="R95" s="41"/>
      <c r="S95" s="41">
        <v>2550</v>
      </c>
      <c r="T95" s="41">
        <v>500</v>
      </c>
      <c r="U95" s="16">
        <f t="shared" si="18"/>
        <v>-2050</v>
      </c>
      <c r="V95" s="45">
        <f t="shared" si="19"/>
        <v>-0.80392156862745101</v>
      </c>
    </row>
    <row r="96" spans="1:22" x14ac:dyDescent="0.2">
      <c r="A96" s="3">
        <v>701100</v>
      </c>
      <c r="B96" s="3" t="s">
        <v>337</v>
      </c>
      <c r="C96" s="1">
        <v>721125</v>
      </c>
      <c r="D96" s="1" t="s">
        <v>82</v>
      </c>
      <c r="E96" s="22">
        <v>1826858</v>
      </c>
      <c r="F96" s="22">
        <v>2104334.48</v>
      </c>
      <c r="G96" s="22">
        <v>2473558</v>
      </c>
      <c r="H96" s="22">
        <v>2801961.62</v>
      </c>
      <c r="I96" s="22">
        <v>3172540</v>
      </c>
      <c r="J96" s="22">
        <v>3208538</v>
      </c>
      <c r="K96" s="22">
        <v>3342792.75</v>
      </c>
      <c r="L96" s="22">
        <v>3369331.9800000004</v>
      </c>
      <c r="M96" s="22">
        <v>3536603.8</v>
      </c>
      <c r="N96" s="43">
        <v>3322587.92</v>
      </c>
      <c r="O96" s="42">
        <v>4035086.0700000003</v>
      </c>
      <c r="P96" s="42">
        <v>2135430.7800000003</v>
      </c>
      <c r="Q96" s="49">
        <v>1821.98</v>
      </c>
      <c r="R96" s="41"/>
      <c r="S96" s="41"/>
      <c r="T96" s="41"/>
      <c r="U96" s="16">
        <f t="shared" si="18"/>
        <v>0</v>
      </c>
      <c r="V96" s="45" t="e">
        <f t="shared" si="19"/>
        <v>#DIV/0!</v>
      </c>
    </row>
    <row r="97" spans="1:22" x14ac:dyDescent="0.2">
      <c r="A97" s="3">
        <v>701300</v>
      </c>
      <c r="B97" s="3" t="s">
        <v>276</v>
      </c>
      <c r="C97" s="57">
        <v>721130</v>
      </c>
      <c r="D97" s="57" t="s">
        <v>276</v>
      </c>
      <c r="E97" s="22"/>
      <c r="F97" s="22"/>
      <c r="G97" s="22"/>
      <c r="H97" s="22">
        <v>44.550000000000004</v>
      </c>
      <c r="I97" s="22"/>
      <c r="J97" s="22"/>
      <c r="K97" s="22"/>
      <c r="L97" s="22"/>
      <c r="M97" s="22"/>
      <c r="N97" s="22"/>
      <c r="O97" s="22"/>
      <c r="P97" s="22"/>
      <c r="Q97" s="22"/>
      <c r="R97" s="41"/>
      <c r="S97" s="41"/>
      <c r="T97" s="41"/>
      <c r="U97" s="16">
        <f t="shared" si="18"/>
        <v>0</v>
      </c>
      <c r="V97" s="45" t="e">
        <f t="shared" si="19"/>
        <v>#DIV/0!</v>
      </c>
    </row>
    <row r="98" spans="1:22" x14ac:dyDescent="0.2">
      <c r="A98" s="3">
        <v>701301</v>
      </c>
      <c r="B98" s="3" t="s">
        <v>339</v>
      </c>
      <c r="C98" s="1">
        <v>721135</v>
      </c>
      <c r="D98" s="1" t="s">
        <v>83</v>
      </c>
      <c r="R98" s="41"/>
      <c r="S98" s="41"/>
      <c r="T98" s="41"/>
      <c r="U98" s="16">
        <f t="shared" si="18"/>
        <v>0</v>
      </c>
      <c r="V98" s="45" t="e">
        <f t="shared" si="19"/>
        <v>#DIV/0!</v>
      </c>
    </row>
    <row r="99" spans="1:22" x14ac:dyDescent="0.2">
      <c r="A99" s="3">
        <v>701403</v>
      </c>
      <c r="B99" s="3" t="s">
        <v>342</v>
      </c>
      <c r="C99" s="1">
        <v>721140</v>
      </c>
      <c r="D99" s="1" t="s">
        <v>84</v>
      </c>
      <c r="E99" s="22">
        <v>33600</v>
      </c>
      <c r="F99" s="22">
        <v>35730</v>
      </c>
      <c r="G99" s="22">
        <v>21519.3</v>
      </c>
      <c r="H99" s="22">
        <v>21853</v>
      </c>
      <c r="I99" s="22">
        <v>7830.9800000000005</v>
      </c>
      <c r="J99" s="22">
        <v>20821.02</v>
      </c>
      <c r="K99" s="22">
        <v>1999.43</v>
      </c>
      <c r="L99" s="22">
        <v>7559.92</v>
      </c>
      <c r="M99" s="22">
        <v>1861.47</v>
      </c>
      <c r="N99" s="43">
        <v>2651.46</v>
      </c>
      <c r="O99" s="42">
        <v>2968.36</v>
      </c>
      <c r="P99" s="42">
        <v>8173.33</v>
      </c>
      <c r="Q99" s="49">
        <v>5466</v>
      </c>
      <c r="R99" s="41">
        <v>2035.3400000000001</v>
      </c>
      <c r="S99" s="41">
        <v>2401.79</v>
      </c>
      <c r="T99" s="41">
        <v>3100.87</v>
      </c>
      <c r="U99" s="16">
        <f t="shared" si="18"/>
        <v>699.07999999999993</v>
      </c>
      <c r="V99" s="45">
        <f t="shared" si="19"/>
        <v>0.29106624642454165</v>
      </c>
    </row>
    <row r="100" spans="1:22" x14ac:dyDescent="0.2">
      <c r="A100" s="3">
        <v>701302</v>
      </c>
      <c r="B100" s="3" t="s">
        <v>340</v>
      </c>
      <c r="C100" s="1">
        <v>721145</v>
      </c>
      <c r="D100" s="1" t="s">
        <v>85</v>
      </c>
      <c r="E100" s="22">
        <v>9616.56</v>
      </c>
      <c r="F100" s="22">
        <v>1075</v>
      </c>
      <c r="G100" s="22">
        <v>621.25</v>
      </c>
      <c r="H100" s="22">
        <v>200</v>
      </c>
      <c r="I100" s="22"/>
      <c r="J100" s="22"/>
      <c r="K100" s="22"/>
      <c r="L100" s="22"/>
      <c r="M100" s="22">
        <v>1224.18</v>
      </c>
      <c r="N100" s="43">
        <v>5138.22</v>
      </c>
      <c r="O100" s="22"/>
      <c r="P100" s="22"/>
      <c r="Q100" s="22"/>
      <c r="R100" s="41">
        <v>61895.770000000004</v>
      </c>
      <c r="S100" s="41">
        <v>4374</v>
      </c>
      <c r="T100" s="41">
        <v>642</v>
      </c>
      <c r="U100" s="16">
        <f t="shared" si="18"/>
        <v>-3732</v>
      </c>
      <c r="V100" s="45">
        <f t="shared" si="19"/>
        <v>-0.85322359396433467</v>
      </c>
    </row>
    <row r="101" spans="1:22" x14ac:dyDescent="0.2">
      <c r="A101" s="3">
        <v>701400</v>
      </c>
      <c r="B101" s="3" t="s">
        <v>341</v>
      </c>
      <c r="C101" s="1">
        <v>721146</v>
      </c>
      <c r="D101" s="1" t="s">
        <v>86</v>
      </c>
      <c r="R101" s="41"/>
      <c r="S101" s="41"/>
      <c r="T101" s="41"/>
      <c r="U101" s="16">
        <f t="shared" si="18"/>
        <v>0</v>
      </c>
      <c r="V101" s="45" t="e">
        <f t="shared" si="19"/>
        <v>#DIV/0!</v>
      </c>
    </row>
    <row r="102" spans="1:22" x14ac:dyDescent="0.2">
      <c r="A102" s="3">
        <v>701406</v>
      </c>
      <c r="B102" s="3" t="s">
        <v>345</v>
      </c>
      <c r="C102" s="1">
        <v>721150</v>
      </c>
      <c r="D102" s="1" t="s">
        <v>87</v>
      </c>
      <c r="E102" s="22">
        <v>6500</v>
      </c>
      <c r="F102" s="22">
        <v>7550</v>
      </c>
      <c r="G102" s="22">
        <v>21500</v>
      </c>
      <c r="H102" s="22">
        <v>21730</v>
      </c>
      <c r="I102" s="22">
        <v>36405</v>
      </c>
      <c r="J102" s="22">
        <v>36715</v>
      </c>
      <c r="K102" s="22">
        <v>61625.16</v>
      </c>
      <c r="L102" s="22">
        <v>56944.66</v>
      </c>
      <c r="M102" s="22">
        <v>59239.5</v>
      </c>
      <c r="N102" s="22"/>
      <c r="O102" s="22"/>
      <c r="P102" s="22"/>
      <c r="Q102" s="22"/>
      <c r="R102" s="41"/>
      <c r="S102" s="41"/>
      <c r="T102" s="41"/>
      <c r="U102" s="16">
        <f t="shared" si="18"/>
        <v>0</v>
      </c>
      <c r="V102" s="45" t="e">
        <f t="shared" si="19"/>
        <v>#DIV/0!</v>
      </c>
    </row>
    <row r="103" spans="1:22" x14ac:dyDescent="0.2">
      <c r="A103" s="3">
        <v>701405</v>
      </c>
      <c r="B103" s="3" t="s">
        <v>344</v>
      </c>
      <c r="C103" s="1">
        <v>721160</v>
      </c>
      <c r="D103" s="1" t="s">
        <v>88</v>
      </c>
      <c r="R103" s="41"/>
      <c r="S103" s="41"/>
      <c r="T103" s="41"/>
      <c r="U103" s="16">
        <f t="shared" si="18"/>
        <v>0</v>
      </c>
      <c r="V103" s="45" t="e">
        <f t="shared" si="19"/>
        <v>#DIV/0!</v>
      </c>
    </row>
    <row r="104" spans="1:22" x14ac:dyDescent="0.2">
      <c r="A104" s="3">
        <v>701500</v>
      </c>
      <c r="B104" s="3" t="s">
        <v>346</v>
      </c>
      <c r="C104" s="1">
        <v>722100</v>
      </c>
      <c r="D104" s="1" t="s">
        <v>89</v>
      </c>
      <c r="E104" s="22">
        <v>1906.3</v>
      </c>
      <c r="F104" s="22">
        <v>3770.05</v>
      </c>
      <c r="G104" s="22">
        <v>80</v>
      </c>
      <c r="H104" s="22">
        <v>80</v>
      </c>
      <c r="I104" s="22">
        <v>80</v>
      </c>
      <c r="J104" s="22">
        <v>723.80000000000007</v>
      </c>
      <c r="K104" s="22">
        <v>389.95</v>
      </c>
      <c r="L104" s="22">
        <v>479</v>
      </c>
      <c r="M104" s="22">
        <v>885</v>
      </c>
      <c r="N104" s="43">
        <v>685</v>
      </c>
      <c r="O104" s="42">
        <v>130</v>
      </c>
      <c r="P104" s="42">
        <v>2360</v>
      </c>
      <c r="Q104" s="49">
        <v>2748.98</v>
      </c>
      <c r="R104" s="41">
        <v>2359</v>
      </c>
      <c r="S104" s="41">
        <v>1983.5</v>
      </c>
      <c r="T104" s="41">
        <v>2427</v>
      </c>
      <c r="U104" s="16">
        <f t="shared" si="18"/>
        <v>443.5</v>
      </c>
      <c r="V104" s="45">
        <f t="shared" si="19"/>
        <v>0.22359465591126795</v>
      </c>
    </row>
    <row r="105" spans="1:22" x14ac:dyDescent="0.2">
      <c r="A105" s="3">
        <v>701501</v>
      </c>
      <c r="B105" s="3" t="s">
        <v>90</v>
      </c>
      <c r="C105" s="1">
        <v>722105</v>
      </c>
      <c r="D105" s="1" t="s">
        <v>90</v>
      </c>
      <c r="E105" s="22">
        <v>3971.6</v>
      </c>
      <c r="F105" s="22">
        <v>10146.700000000001</v>
      </c>
      <c r="G105" s="22"/>
      <c r="H105" s="22"/>
      <c r="I105" s="22"/>
      <c r="J105" s="22"/>
      <c r="K105" s="22"/>
      <c r="L105" s="22"/>
      <c r="M105" s="22"/>
      <c r="N105" s="22"/>
      <c r="O105" s="22"/>
      <c r="P105" s="22"/>
      <c r="Q105" s="22"/>
      <c r="R105" s="41"/>
      <c r="S105" s="41"/>
      <c r="T105" s="41"/>
      <c r="U105" s="16">
        <f t="shared" si="18"/>
        <v>0</v>
      </c>
      <c r="V105" s="45" t="e">
        <f t="shared" si="19"/>
        <v>#DIV/0!</v>
      </c>
    </row>
    <row r="106" spans="1:22" x14ac:dyDescent="0.2">
      <c r="A106" s="3">
        <v>701502</v>
      </c>
      <c r="B106" s="3" t="s">
        <v>91</v>
      </c>
      <c r="C106" s="1">
        <v>722110</v>
      </c>
      <c r="D106" s="1" t="s">
        <v>91</v>
      </c>
      <c r="R106" s="41"/>
      <c r="S106" s="41"/>
      <c r="T106" s="41"/>
      <c r="U106" s="16">
        <f t="shared" si="18"/>
        <v>0</v>
      </c>
      <c r="V106" s="45" t="e">
        <f t="shared" si="19"/>
        <v>#DIV/0!</v>
      </c>
    </row>
    <row r="107" spans="1:22" x14ac:dyDescent="0.2">
      <c r="A107" s="3">
        <v>701600</v>
      </c>
      <c r="B107" s="3" t="s">
        <v>92</v>
      </c>
      <c r="C107" s="1">
        <v>723100</v>
      </c>
      <c r="D107" s="1" t="s">
        <v>92</v>
      </c>
      <c r="R107" s="41"/>
      <c r="S107" s="41"/>
      <c r="T107" s="41"/>
      <c r="U107" s="16">
        <f t="shared" si="18"/>
        <v>0</v>
      </c>
      <c r="V107" s="45" t="e">
        <f t="shared" si="19"/>
        <v>#DIV/0!</v>
      </c>
    </row>
    <row r="108" spans="1:22" x14ac:dyDescent="0.2">
      <c r="A108" s="3">
        <v>701602</v>
      </c>
      <c r="B108" s="3" t="s">
        <v>93</v>
      </c>
      <c r="C108" s="1">
        <v>723120</v>
      </c>
      <c r="D108" s="1" t="s">
        <v>93</v>
      </c>
      <c r="R108" s="41"/>
      <c r="S108" s="41"/>
      <c r="T108" s="41"/>
      <c r="U108" s="16">
        <f t="shared" si="18"/>
        <v>0</v>
      </c>
      <c r="V108" s="45" t="e">
        <f t="shared" si="19"/>
        <v>#DIV/0!</v>
      </c>
    </row>
    <row r="109" spans="1:22" x14ac:dyDescent="0.2">
      <c r="A109" s="3">
        <v>701603</v>
      </c>
      <c r="B109" s="3" t="s">
        <v>94</v>
      </c>
      <c r="C109" s="1">
        <v>723130</v>
      </c>
      <c r="D109" s="1" t="s">
        <v>94</v>
      </c>
      <c r="E109" s="22">
        <v>3207.58</v>
      </c>
      <c r="F109" s="22">
        <v>1440.38</v>
      </c>
      <c r="G109" s="22">
        <v>1130.58</v>
      </c>
      <c r="H109" s="22"/>
      <c r="I109" s="22"/>
      <c r="J109" s="22">
        <v>1900.75</v>
      </c>
      <c r="K109" s="22">
        <v>8222.09</v>
      </c>
      <c r="L109" s="22">
        <v>5049.2700000000004</v>
      </c>
      <c r="M109" s="22">
        <v>8523.0499999999993</v>
      </c>
      <c r="N109" s="43">
        <v>823.64</v>
      </c>
      <c r="O109" s="42">
        <v>5194</v>
      </c>
      <c r="P109" s="42">
        <v>6475.58</v>
      </c>
      <c r="Q109" s="49">
        <v>29</v>
      </c>
      <c r="R109" s="41">
        <v>11.81</v>
      </c>
      <c r="S109" s="41"/>
      <c r="T109" s="41"/>
      <c r="U109" s="16">
        <f t="shared" si="18"/>
        <v>0</v>
      </c>
      <c r="V109" s="45" t="e">
        <f t="shared" si="19"/>
        <v>#DIV/0!</v>
      </c>
    </row>
    <row r="110" spans="1:22" x14ac:dyDescent="0.2">
      <c r="A110" s="3">
        <v>705102</v>
      </c>
      <c r="B110" s="3" t="s">
        <v>362</v>
      </c>
      <c r="C110" s="1">
        <v>731205</v>
      </c>
      <c r="D110" s="1" t="s">
        <v>95</v>
      </c>
      <c r="R110" s="41"/>
      <c r="S110" s="41"/>
      <c r="T110" s="41"/>
      <c r="U110" s="16">
        <f t="shared" si="18"/>
        <v>0</v>
      </c>
      <c r="V110" s="45" t="e">
        <f t="shared" si="19"/>
        <v>#DIV/0!</v>
      </c>
    </row>
    <row r="111" spans="1:22" x14ac:dyDescent="0.2">
      <c r="A111" s="3">
        <v>705000</v>
      </c>
      <c r="B111" s="3" t="s">
        <v>356</v>
      </c>
      <c r="C111" s="1">
        <v>732100</v>
      </c>
      <c r="D111" s="1" t="s">
        <v>96</v>
      </c>
      <c r="R111" s="41"/>
      <c r="S111" s="41"/>
      <c r="T111" s="41"/>
      <c r="U111" s="16">
        <f t="shared" si="18"/>
        <v>0</v>
      </c>
      <c r="V111" s="45" t="e">
        <f t="shared" si="19"/>
        <v>#DIV/0!</v>
      </c>
    </row>
    <row r="112" spans="1:22" x14ac:dyDescent="0.2">
      <c r="A112" s="3">
        <v>705100</v>
      </c>
      <c r="B112" s="3" t="s">
        <v>360</v>
      </c>
      <c r="C112" s="1">
        <v>732105</v>
      </c>
      <c r="D112" s="1" t="s">
        <v>97</v>
      </c>
      <c r="E112" s="22">
        <v>8573.07</v>
      </c>
      <c r="F112" s="22">
        <v>2016.25</v>
      </c>
      <c r="G112" s="22">
        <v>323.76</v>
      </c>
      <c r="H112" s="22"/>
      <c r="I112" s="22"/>
      <c r="J112" s="22">
        <v>99</v>
      </c>
      <c r="K112" s="22"/>
      <c r="L112" s="22">
        <v>359.90000000000003</v>
      </c>
      <c r="M112" s="22"/>
      <c r="N112" s="43">
        <v>5459.49</v>
      </c>
      <c r="O112" s="42">
        <v>45.75</v>
      </c>
      <c r="P112" s="42">
        <v>2856.15</v>
      </c>
      <c r="Q112" s="49">
        <v>696.6</v>
      </c>
      <c r="R112" s="41">
        <v>2972.2400000000002</v>
      </c>
      <c r="S112" s="41">
        <v>-42.12</v>
      </c>
      <c r="T112" s="41"/>
      <c r="U112" s="16">
        <f t="shared" si="18"/>
        <v>42.12</v>
      </c>
      <c r="V112" s="45">
        <f t="shared" si="19"/>
        <v>-1</v>
      </c>
    </row>
    <row r="113" spans="1:22" x14ac:dyDescent="0.2">
      <c r="A113" s="3">
        <v>705300</v>
      </c>
      <c r="B113" s="3" t="s">
        <v>98</v>
      </c>
      <c r="C113" s="1">
        <v>732110</v>
      </c>
      <c r="D113" s="1" t="s">
        <v>98</v>
      </c>
      <c r="E113" s="22">
        <v>169.07</v>
      </c>
      <c r="F113" s="22"/>
      <c r="G113" s="22"/>
      <c r="H113" s="22"/>
      <c r="I113" s="22"/>
      <c r="J113" s="22"/>
      <c r="K113" s="22"/>
      <c r="L113" s="22"/>
      <c r="M113" s="22"/>
      <c r="N113" s="22"/>
      <c r="O113" s="22"/>
      <c r="P113" s="22"/>
      <c r="Q113" s="22"/>
      <c r="R113" s="41"/>
      <c r="S113" s="41"/>
      <c r="T113" s="41"/>
      <c r="U113" s="16">
        <f t="shared" si="18"/>
        <v>0</v>
      </c>
      <c r="V113" s="45" t="e">
        <f t="shared" si="19"/>
        <v>#DIV/0!</v>
      </c>
    </row>
    <row r="114" spans="1:22" x14ac:dyDescent="0.2">
      <c r="A114" s="3">
        <v>705500</v>
      </c>
      <c r="B114" s="3" t="s">
        <v>363</v>
      </c>
      <c r="C114" s="1">
        <v>732115</v>
      </c>
      <c r="D114" s="1" t="s">
        <v>99</v>
      </c>
      <c r="R114" s="41"/>
      <c r="S114" s="41"/>
      <c r="T114" s="41"/>
      <c r="U114" s="16">
        <f t="shared" si="18"/>
        <v>0</v>
      </c>
      <c r="V114" s="45" t="e">
        <f t="shared" si="19"/>
        <v>#DIV/0!</v>
      </c>
    </row>
    <row r="115" spans="1:22" x14ac:dyDescent="0.2">
      <c r="A115" s="3">
        <v>705003</v>
      </c>
      <c r="B115" s="3" t="s">
        <v>359</v>
      </c>
      <c r="C115" s="1">
        <v>732200</v>
      </c>
      <c r="D115" s="1" t="s">
        <v>100</v>
      </c>
      <c r="E115" s="22"/>
      <c r="F115" s="22"/>
      <c r="G115" s="22"/>
      <c r="H115" s="22">
        <v>7260</v>
      </c>
      <c r="I115" s="22"/>
      <c r="J115" s="22"/>
      <c r="K115" s="22"/>
      <c r="L115" s="22"/>
      <c r="M115" s="22"/>
      <c r="N115" s="22"/>
      <c r="O115" s="22"/>
      <c r="P115" s="22"/>
      <c r="Q115" s="22"/>
      <c r="R115" s="41"/>
      <c r="S115" s="41"/>
      <c r="T115" s="41"/>
      <c r="U115" s="16">
        <f t="shared" si="18"/>
        <v>0</v>
      </c>
      <c r="V115" s="45" t="e">
        <f t="shared" si="19"/>
        <v>#DIV/0!</v>
      </c>
    </row>
    <row r="116" spans="1:22" x14ac:dyDescent="0.2">
      <c r="A116" s="3">
        <v>705103</v>
      </c>
      <c r="B116" s="3" t="s">
        <v>440</v>
      </c>
      <c r="C116" s="1">
        <v>732205</v>
      </c>
      <c r="D116" s="1" t="s">
        <v>101</v>
      </c>
      <c r="R116" s="41"/>
      <c r="S116" s="41"/>
      <c r="T116" s="41"/>
      <c r="U116" s="16">
        <f t="shared" si="18"/>
        <v>0</v>
      </c>
      <c r="V116" s="45" t="e">
        <f t="shared" si="19"/>
        <v>#DIV/0!</v>
      </c>
    </row>
    <row r="117" spans="1:22" x14ac:dyDescent="0.2">
      <c r="A117" s="3">
        <v>705801</v>
      </c>
      <c r="B117" s="3" t="s">
        <v>365</v>
      </c>
      <c r="C117" s="1">
        <v>732210</v>
      </c>
      <c r="D117" s="1" t="s">
        <v>102</v>
      </c>
      <c r="R117" s="41"/>
      <c r="S117" s="41"/>
      <c r="T117" s="41"/>
      <c r="U117" s="16">
        <f t="shared" si="18"/>
        <v>0</v>
      </c>
      <c r="V117" s="45" t="e">
        <f t="shared" si="19"/>
        <v>#DIV/0!</v>
      </c>
    </row>
    <row r="118" spans="1:22" x14ac:dyDescent="0.2">
      <c r="A118" s="3">
        <v>705003</v>
      </c>
      <c r="B118" s="3" t="s">
        <v>359</v>
      </c>
      <c r="C118" s="1">
        <v>732215</v>
      </c>
      <c r="D118" s="1" t="s">
        <v>103</v>
      </c>
      <c r="R118" s="41"/>
      <c r="S118" s="41"/>
      <c r="T118" s="41"/>
      <c r="U118" s="16">
        <f t="shared" si="18"/>
        <v>0</v>
      </c>
      <c r="V118" s="45" t="e">
        <f t="shared" si="19"/>
        <v>#DIV/0!</v>
      </c>
    </row>
    <row r="119" spans="1:22" x14ac:dyDescent="0.2">
      <c r="A119" s="3">
        <v>705300</v>
      </c>
      <c r="B119" s="3" t="s">
        <v>98</v>
      </c>
      <c r="C119" s="1">
        <v>732225</v>
      </c>
      <c r="D119" s="1" t="s">
        <v>104</v>
      </c>
      <c r="R119" s="41"/>
      <c r="S119" s="41"/>
      <c r="T119" s="41"/>
      <c r="U119" s="16">
        <f t="shared" si="18"/>
        <v>0</v>
      </c>
      <c r="V119" s="45" t="e">
        <f t="shared" si="19"/>
        <v>#DIV/0!</v>
      </c>
    </row>
    <row r="120" spans="1:22" x14ac:dyDescent="0.2">
      <c r="A120" s="3">
        <v>705800</v>
      </c>
      <c r="B120" s="3" t="s">
        <v>364</v>
      </c>
      <c r="C120" s="1">
        <v>732300</v>
      </c>
      <c r="D120" s="1" t="s">
        <v>105</v>
      </c>
      <c r="R120" s="41"/>
      <c r="S120" s="41"/>
      <c r="T120" s="41"/>
      <c r="U120" s="16">
        <f t="shared" si="18"/>
        <v>0</v>
      </c>
      <c r="V120" s="45" t="e">
        <f t="shared" si="19"/>
        <v>#DIV/0!</v>
      </c>
    </row>
    <row r="121" spans="1:22" x14ac:dyDescent="0.2">
      <c r="A121" s="3">
        <v>706007</v>
      </c>
      <c r="B121" s="3" t="s">
        <v>371</v>
      </c>
      <c r="C121" s="1">
        <v>741100</v>
      </c>
      <c r="D121" s="1" t="s">
        <v>106</v>
      </c>
      <c r="E121" s="22">
        <v>135105.19</v>
      </c>
      <c r="F121" s="22">
        <v>147251.11000000002</v>
      </c>
      <c r="G121" s="22">
        <v>148651.34</v>
      </c>
      <c r="H121" s="22">
        <v>156769.48000000001</v>
      </c>
      <c r="I121" s="22">
        <v>143039.78</v>
      </c>
      <c r="J121" s="22">
        <v>167564.51999999999</v>
      </c>
      <c r="K121" s="22">
        <v>176038.2</v>
      </c>
      <c r="L121" s="22">
        <v>189073.80000000002</v>
      </c>
      <c r="M121" s="22">
        <v>191850</v>
      </c>
      <c r="N121" s="43">
        <v>192988.4</v>
      </c>
      <c r="O121" s="42">
        <v>202362.78</v>
      </c>
      <c r="P121" s="42">
        <v>213333.36000000002</v>
      </c>
      <c r="Q121" s="49">
        <v>222223.85</v>
      </c>
      <c r="R121" s="41">
        <v>240630.28</v>
      </c>
      <c r="S121" s="41">
        <v>245478.52000000002</v>
      </c>
      <c r="T121" s="41">
        <v>249625.59</v>
      </c>
      <c r="U121" s="16">
        <f t="shared" si="18"/>
        <v>4147.0699999999779</v>
      </c>
      <c r="V121" s="45">
        <f t="shared" si="19"/>
        <v>1.689382028211665E-2</v>
      </c>
    </row>
    <row r="122" spans="1:22" x14ac:dyDescent="0.2">
      <c r="A122" s="3">
        <v>706000</v>
      </c>
      <c r="B122" s="3" t="s">
        <v>366</v>
      </c>
      <c r="C122" s="1">
        <v>741110</v>
      </c>
      <c r="D122" s="1" t="s">
        <v>107</v>
      </c>
      <c r="R122" s="41"/>
      <c r="S122" s="41"/>
      <c r="T122" s="41"/>
      <c r="U122" s="16">
        <f t="shared" si="18"/>
        <v>0</v>
      </c>
      <c r="V122" s="45" t="e">
        <f t="shared" si="19"/>
        <v>#DIV/0!</v>
      </c>
    </row>
    <row r="123" spans="1:22" x14ac:dyDescent="0.2">
      <c r="A123" s="3">
        <v>706100</v>
      </c>
      <c r="B123" s="3" t="s">
        <v>372</v>
      </c>
      <c r="C123" s="1">
        <v>742120</v>
      </c>
      <c r="D123" s="1" t="s">
        <v>108</v>
      </c>
      <c r="R123" s="41"/>
      <c r="S123" s="41"/>
      <c r="T123" s="41"/>
      <c r="U123" s="16">
        <f t="shared" si="18"/>
        <v>0</v>
      </c>
      <c r="V123" s="45" t="e">
        <f t="shared" si="19"/>
        <v>#DIV/0!</v>
      </c>
    </row>
    <row r="124" spans="1:22" x14ac:dyDescent="0.2">
      <c r="A124" s="3">
        <v>706200</v>
      </c>
      <c r="B124" s="3" t="s">
        <v>374</v>
      </c>
      <c r="C124" s="1">
        <v>743100</v>
      </c>
      <c r="D124" s="1" t="s">
        <v>109</v>
      </c>
      <c r="E124" s="22">
        <v>1478.9</v>
      </c>
      <c r="F124" s="22">
        <v>7819.93</v>
      </c>
      <c r="G124" s="22">
        <v>1425</v>
      </c>
      <c r="H124" s="22">
        <v>2676.55</v>
      </c>
      <c r="I124" s="22">
        <v>1295</v>
      </c>
      <c r="J124" s="22">
        <v>1500</v>
      </c>
      <c r="K124" s="22">
        <v>1942</v>
      </c>
      <c r="L124" s="22">
        <v>758.5</v>
      </c>
      <c r="M124" s="22">
        <v>783</v>
      </c>
      <c r="N124" s="43">
        <v>220</v>
      </c>
      <c r="O124" s="22"/>
      <c r="P124" s="22"/>
      <c r="Q124" s="22"/>
      <c r="R124" s="41"/>
      <c r="S124" s="41"/>
      <c r="T124" s="41"/>
      <c r="U124" s="16">
        <f t="shared" si="18"/>
        <v>0</v>
      </c>
      <c r="V124" s="45" t="e">
        <f t="shared" si="19"/>
        <v>#DIV/0!</v>
      </c>
    </row>
    <row r="125" spans="1:22" x14ac:dyDescent="0.2">
      <c r="A125" s="3">
        <v>706200</v>
      </c>
      <c r="B125" s="3" t="s">
        <v>374</v>
      </c>
      <c r="C125" s="1">
        <v>743200</v>
      </c>
      <c r="D125" s="1" t="s">
        <v>110</v>
      </c>
      <c r="R125" s="41"/>
      <c r="S125" s="41"/>
      <c r="T125" s="41"/>
      <c r="U125" s="16">
        <f t="shared" si="18"/>
        <v>0</v>
      </c>
      <c r="V125" s="45" t="e">
        <f t="shared" si="19"/>
        <v>#DIV/0!</v>
      </c>
    </row>
    <row r="126" spans="1:22" x14ac:dyDescent="0.2">
      <c r="A126" s="3">
        <v>706202</v>
      </c>
      <c r="B126" s="3" t="s">
        <v>375</v>
      </c>
      <c r="C126" s="1">
        <v>743300</v>
      </c>
      <c r="D126" s="1" t="s">
        <v>111</v>
      </c>
      <c r="E126" s="22">
        <v>2148.1800000000003</v>
      </c>
      <c r="F126" s="22">
        <v>618.64</v>
      </c>
      <c r="G126" s="22">
        <v>236.25</v>
      </c>
      <c r="H126" s="22"/>
      <c r="I126" s="22"/>
      <c r="J126" s="22"/>
      <c r="K126" s="22"/>
      <c r="L126" s="22"/>
      <c r="M126" s="22"/>
      <c r="N126" s="22"/>
      <c r="O126" s="22"/>
      <c r="P126" s="22"/>
      <c r="Q126" s="22"/>
      <c r="R126" s="41"/>
      <c r="S126" s="41"/>
      <c r="T126" s="41"/>
      <c r="U126" s="16">
        <f t="shared" si="18"/>
        <v>0</v>
      </c>
      <c r="V126" s="45" t="e">
        <f t="shared" si="19"/>
        <v>#DIV/0!</v>
      </c>
    </row>
    <row r="127" spans="1:22" x14ac:dyDescent="0.2">
      <c r="A127" s="3">
        <v>706203</v>
      </c>
      <c r="B127" s="3" t="s">
        <v>376</v>
      </c>
      <c r="C127" s="1">
        <v>743400</v>
      </c>
      <c r="D127" s="1" t="s">
        <v>112</v>
      </c>
      <c r="E127" s="22">
        <v>2871.86</v>
      </c>
      <c r="F127" s="22"/>
      <c r="G127" s="22"/>
      <c r="H127" s="22"/>
      <c r="I127" s="22"/>
      <c r="J127" s="22"/>
      <c r="K127" s="22"/>
      <c r="L127" s="22"/>
      <c r="M127" s="22"/>
      <c r="N127" s="22"/>
      <c r="O127" s="22"/>
      <c r="P127" s="22"/>
      <c r="Q127" s="22"/>
      <c r="R127" s="41"/>
      <c r="S127" s="41"/>
      <c r="T127" s="41"/>
      <c r="U127" s="16">
        <f t="shared" si="18"/>
        <v>0</v>
      </c>
      <c r="V127" s="45" t="e">
        <f t="shared" si="19"/>
        <v>#DIV/0!</v>
      </c>
    </row>
    <row r="128" spans="1:22" x14ac:dyDescent="0.2">
      <c r="A128" s="3">
        <v>706204</v>
      </c>
      <c r="B128" s="3" t="s">
        <v>377</v>
      </c>
      <c r="C128" s="1">
        <v>743500</v>
      </c>
      <c r="D128" s="1" t="s">
        <v>113</v>
      </c>
      <c r="R128" s="41"/>
      <c r="S128" s="41"/>
      <c r="T128" s="41"/>
      <c r="U128" s="16">
        <f t="shared" si="18"/>
        <v>0</v>
      </c>
      <c r="V128" s="45" t="e">
        <f t="shared" si="19"/>
        <v>#DIV/0!</v>
      </c>
    </row>
    <row r="129" spans="1:22" x14ac:dyDescent="0.2">
      <c r="A129" s="3">
        <v>706300</v>
      </c>
      <c r="B129" s="3" t="s">
        <v>378</v>
      </c>
      <c r="C129" s="1">
        <v>744100</v>
      </c>
      <c r="D129" s="1" t="s">
        <v>114</v>
      </c>
      <c r="R129" s="41"/>
      <c r="S129" s="41"/>
      <c r="T129" s="41"/>
      <c r="U129" s="16">
        <f t="shared" si="18"/>
        <v>0</v>
      </c>
      <c r="V129" s="45" t="e">
        <f t="shared" si="19"/>
        <v>#DIV/0!</v>
      </c>
    </row>
    <row r="130" spans="1:22" x14ac:dyDescent="0.2">
      <c r="A130" s="3">
        <v>706300</v>
      </c>
      <c r="B130" s="3" t="s">
        <v>378</v>
      </c>
      <c r="C130" s="1">
        <v>744110</v>
      </c>
      <c r="D130" s="1" t="s">
        <v>115</v>
      </c>
      <c r="E130" s="22">
        <v>896.69</v>
      </c>
      <c r="F130" s="22">
        <v>191.66</v>
      </c>
      <c r="G130" s="22"/>
      <c r="H130" s="22">
        <v>396.88</v>
      </c>
      <c r="I130" s="22"/>
      <c r="J130" s="22">
        <v>598</v>
      </c>
      <c r="K130" s="22"/>
      <c r="L130" s="22">
        <v>153.72</v>
      </c>
      <c r="M130" s="22"/>
      <c r="N130" s="22"/>
      <c r="O130" s="42">
        <v>1014.15</v>
      </c>
      <c r="P130" s="42">
        <v>338.83</v>
      </c>
      <c r="Q130" s="49">
        <v>275.19</v>
      </c>
      <c r="R130" s="41">
        <v>245.28</v>
      </c>
      <c r="S130" s="41">
        <v>175.67000000000002</v>
      </c>
      <c r="T130" s="41">
        <v>61.86</v>
      </c>
      <c r="U130" s="16">
        <f t="shared" si="18"/>
        <v>-113.81000000000002</v>
      </c>
      <c r="V130" s="45">
        <f t="shared" si="19"/>
        <v>-0.64786246940285763</v>
      </c>
    </row>
    <row r="131" spans="1:22" x14ac:dyDescent="0.2">
      <c r="A131" s="3">
        <v>706301</v>
      </c>
      <c r="B131" s="3" t="s">
        <v>379</v>
      </c>
      <c r="C131" s="1">
        <v>744115</v>
      </c>
      <c r="D131" s="1" t="s">
        <v>116</v>
      </c>
      <c r="R131" s="41"/>
      <c r="S131" s="41"/>
      <c r="T131" s="41"/>
      <c r="U131" s="16">
        <f t="shared" si="18"/>
        <v>0</v>
      </c>
      <c r="V131" s="45" t="e">
        <f t="shared" si="19"/>
        <v>#DIV/0!</v>
      </c>
    </row>
    <row r="132" spans="1:22" x14ac:dyDescent="0.2">
      <c r="A132" s="3">
        <v>706302</v>
      </c>
      <c r="B132" s="3" t="s">
        <v>380</v>
      </c>
      <c r="C132" s="1">
        <v>744125</v>
      </c>
      <c r="D132" s="1" t="s">
        <v>117</v>
      </c>
      <c r="R132" s="41"/>
      <c r="S132" s="41"/>
      <c r="T132" s="41"/>
      <c r="U132" s="16">
        <f t="shared" si="18"/>
        <v>0</v>
      </c>
      <c r="V132" s="45" t="e">
        <f t="shared" si="19"/>
        <v>#DIV/0!</v>
      </c>
    </row>
    <row r="133" spans="1:22" x14ac:dyDescent="0.2">
      <c r="A133" s="3">
        <v>706400</v>
      </c>
      <c r="B133" s="3" t="s">
        <v>381</v>
      </c>
      <c r="C133" s="1">
        <v>744130</v>
      </c>
      <c r="D133" s="1" t="s">
        <v>118</v>
      </c>
      <c r="R133" s="41"/>
      <c r="S133" s="41"/>
      <c r="T133" s="41"/>
      <c r="U133" s="16">
        <f t="shared" si="18"/>
        <v>0</v>
      </c>
      <c r="V133" s="45" t="e">
        <f t="shared" si="19"/>
        <v>#DIV/0!</v>
      </c>
    </row>
    <row r="134" spans="1:22" x14ac:dyDescent="0.2">
      <c r="A134" s="3">
        <v>706400</v>
      </c>
      <c r="B134" s="3" t="s">
        <v>381</v>
      </c>
      <c r="C134" s="1">
        <v>744135</v>
      </c>
      <c r="D134" s="1" t="s">
        <v>119</v>
      </c>
      <c r="U134" s="16">
        <f t="shared" si="18"/>
        <v>0</v>
      </c>
      <c r="V134" s="45" t="e">
        <f t="shared" si="19"/>
        <v>#DIV/0!</v>
      </c>
    </row>
    <row r="135" spans="1:22" x14ac:dyDescent="0.2">
      <c r="A135" s="3">
        <v>706504</v>
      </c>
      <c r="B135" s="3" t="s">
        <v>385</v>
      </c>
      <c r="C135" s="1">
        <v>744140</v>
      </c>
      <c r="D135" s="1" t="s">
        <v>120</v>
      </c>
      <c r="E135" s="22"/>
      <c r="F135" s="22">
        <v>850</v>
      </c>
      <c r="G135" s="22">
        <v>1940</v>
      </c>
      <c r="H135" s="22"/>
      <c r="I135" s="22"/>
      <c r="J135" s="22"/>
      <c r="K135" s="22"/>
      <c r="L135" s="22"/>
      <c r="M135" s="22"/>
      <c r="N135" s="22"/>
      <c r="O135" s="22"/>
      <c r="P135" s="22"/>
      <c r="Q135" s="22"/>
      <c r="R135" s="41"/>
      <c r="S135" s="41"/>
      <c r="T135" s="41"/>
      <c r="U135" s="16">
        <f t="shared" si="18"/>
        <v>0</v>
      </c>
      <c r="V135" s="45" t="e">
        <f t="shared" si="19"/>
        <v>#DIV/0!</v>
      </c>
    </row>
    <row r="136" spans="1:22" x14ac:dyDescent="0.2">
      <c r="A136" s="3">
        <v>706700</v>
      </c>
      <c r="B136" s="3" t="s">
        <v>390</v>
      </c>
      <c r="C136" s="1">
        <v>745100</v>
      </c>
      <c r="D136" s="1" t="s">
        <v>121</v>
      </c>
      <c r="R136" s="41"/>
      <c r="S136" s="41"/>
      <c r="T136" s="41"/>
      <c r="U136" s="16">
        <f t="shared" si="18"/>
        <v>0</v>
      </c>
      <c r="V136" s="45" t="e">
        <f t="shared" si="19"/>
        <v>#DIV/0!</v>
      </c>
    </row>
    <row r="137" spans="1:22" x14ac:dyDescent="0.2">
      <c r="A137" s="3">
        <v>706605</v>
      </c>
      <c r="B137" s="3" t="s">
        <v>389</v>
      </c>
      <c r="C137" s="1">
        <v>745105</v>
      </c>
      <c r="D137" s="1" t="s">
        <v>122</v>
      </c>
      <c r="E137" s="22">
        <v>7836.09</v>
      </c>
      <c r="F137" s="22">
        <v>5692.85</v>
      </c>
      <c r="G137" s="22">
        <v>8201</v>
      </c>
      <c r="H137" s="22">
        <v>9719.39</v>
      </c>
      <c r="I137" s="22">
        <v>10187.25</v>
      </c>
      <c r="J137" s="22">
        <v>17411.46</v>
      </c>
      <c r="K137" s="22">
        <v>7924.6500000000005</v>
      </c>
      <c r="L137" s="22">
        <v>10412.59</v>
      </c>
      <c r="M137" s="22">
        <v>2113.6</v>
      </c>
      <c r="N137" s="43">
        <v>4908.88</v>
      </c>
      <c r="O137" s="42">
        <v>2401.44</v>
      </c>
      <c r="P137" s="42">
        <v>1785.38</v>
      </c>
      <c r="Q137" s="49">
        <v>1435.96</v>
      </c>
      <c r="R137" s="41">
        <v>2151.56</v>
      </c>
      <c r="S137" s="41">
        <v>3255.48</v>
      </c>
      <c r="T137" s="41">
        <v>2929.49</v>
      </c>
      <c r="U137" s="16">
        <f t="shared" si="18"/>
        <v>-325.99000000000024</v>
      </c>
      <c r="V137" s="45">
        <f t="shared" si="19"/>
        <v>-0.10013577106908973</v>
      </c>
    </row>
    <row r="138" spans="1:22" x14ac:dyDescent="0.2">
      <c r="A138" s="3">
        <v>706605</v>
      </c>
      <c r="B138" s="3" t="s">
        <v>389</v>
      </c>
      <c r="C138" s="1">
        <v>745110</v>
      </c>
      <c r="D138" s="1" t="s">
        <v>123</v>
      </c>
      <c r="R138" s="41"/>
      <c r="S138" s="41"/>
      <c r="T138" s="41"/>
      <c r="U138" s="16">
        <f t="shared" si="18"/>
        <v>0</v>
      </c>
      <c r="V138" s="45" t="e">
        <f t="shared" si="19"/>
        <v>#DIV/0!</v>
      </c>
    </row>
    <row r="139" spans="1:22" x14ac:dyDescent="0.2">
      <c r="A139" s="3">
        <v>706601</v>
      </c>
      <c r="B139" s="3" t="s">
        <v>387</v>
      </c>
      <c r="C139" s="1">
        <v>745115</v>
      </c>
      <c r="D139" s="1" t="s">
        <v>124</v>
      </c>
      <c r="E139" s="22">
        <v>9876.5</v>
      </c>
      <c r="F139" s="22">
        <v>6165.4000000000005</v>
      </c>
      <c r="G139" s="22">
        <v>1023.9</v>
      </c>
      <c r="H139" s="22">
        <v>100</v>
      </c>
      <c r="I139" s="22">
        <v>1368</v>
      </c>
      <c r="J139" s="22">
        <v>250</v>
      </c>
      <c r="K139" s="22">
        <v>1310</v>
      </c>
      <c r="L139" s="22">
        <v>750</v>
      </c>
      <c r="M139" s="22">
        <v>5171.25</v>
      </c>
      <c r="N139" s="43">
        <v>3575.15</v>
      </c>
      <c r="O139" s="42">
        <v>4610.55</v>
      </c>
      <c r="P139" s="42">
        <v>1091.7</v>
      </c>
      <c r="Q139" s="49">
        <v>1722.8400000000001</v>
      </c>
      <c r="R139" s="41">
        <v>1445.67</v>
      </c>
      <c r="S139" s="41">
        <v>1423.58</v>
      </c>
      <c r="T139" s="41"/>
      <c r="U139" s="16">
        <f t="shared" si="18"/>
        <v>-1423.58</v>
      </c>
      <c r="V139" s="45">
        <f t="shared" si="19"/>
        <v>-1</v>
      </c>
    </row>
    <row r="140" spans="1:22" x14ac:dyDescent="0.2">
      <c r="A140" s="3">
        <v>707001</v>
      </c>
      <c r="B140" s="3" t="s">
        <v>392</v>
      </c>
      <c r="C140" s="1">
        <v>751100</v>
      </c>
      <c r="D140" s="1" t="s">
        <v>125</v>
      </c>
      <c r="E140" s="22"/>
      <c r="F140" s="22"/>
      <c r="G140" s="22"/>
      <c r="H140" s="22"/>
      <c r="I140" s="22"/>
      <c r="J140" s="22"/>
      <c r="K140" s="22"/>
      <c r="L140" s="22">
        <v>295</v>
      </c>
      <c r="M140" s="22">
        <v>2561.4900000000002</v>
      </c>
      <c r="N140" s="22"/>
      <c r="O140" s="22"/>
      <c r="P140" s="22">
        <v>13458.71</v>
      </c>
      <c r="Q140" s="22"/>
      <c r="R140" s="41"/>
      <c r="S140" s="41"/>
      <c r="T140" s="41"/>
      <c r="U140" s="16">
        <f t="shared" si="18"/>
        <v>0</v>
      </c>
      <c r="V140" s="45" t="e">
        <f t="shared" si="19"/>
        <v>#DIV/0!</v>
      </c>
    </row>
    <row r="141" spans="1:22" x14ac:dyDescent="0.2">
      <c r="A141" s="3">
        <v>707000</v>
      </c>
      <c r="B141" s="3" t="s">
        <v>391</v>
      </c>
      <c r="C141" s="1">
        <v>751110</v>
      </c>
      <c r="D141" s="1" t="s">
        <v>126</v>
      </c>
      <c r="E141" s="22"/>
      <c r="F141" s="22"/>
      <c r="G141" s="22"/>
      <c r="H141" s="22">
        <v>125</v>
      </c>
      <c r="I141" s="22"/>
      <c r="J141" s="22"/>
      <c r="K141" s="22"/>
      <c r="L141" s="22"/>
      <c r="M141" s="22">
        <v>369.56</v>
      </c>
      <c r="N141" s="43">
        <v>1791.6100000000001</v>
      </c>
      <c r="O141" s="42">
        <v>222</v>
      </c>
      <c r="P141" s="42">
        <v>30571.4</v>
      </c>
      <c r="Q141" s="42"/>
      <c r="R141" s="41"/>
      <c r="S141" s="41"/>
      <c r="T141" s="41"/>
      <c r="U141" s="16">
        <f t="shared" si="18"/>
        <v>0</v>
      </c>
      <c r="V141" s="45" t="e">
        <f t="shared" si="19"/>
        <v>#DIV/0!</v>
      </c>
    </row>
    <row r="142" spans="1:22" x14ac:dyDescent="0.2">
      <c r="A142" s="3">
        <v>707101</v>
      </c>
      <c r="B142" s="3" t="s">
        <v>395</v>
      </c>
      <c r="C142" s="1">
        <v>752100</v>
      </c>
      <c r="D142" s="1" t="s">
        <v>127</v>
      </c>
      <c r="E142" s="22">
        <v>24384</v>
      </c>
      <c r="F142" s="22">
        <v>96</v>
      </c>
      <c r="G142" s="22">
        <v>96</v>
      </c>
      <c r="H142" s="22">
        <v>96</v>
      </c>
      <c r="I142" s="22">
        <v>5183.79</v>
      </c>
      <c r="J142" s="22">
        <v>96</v>
      </c>
      <c r="K142" s="22">
        <v>1689.8</v>
      </c>
      <c r="L142" s="22">
        <v>288</v>
      </c>
      <c r="M142" s="22">
        <v>14500</v>
      </c>
      <c r="N142" s="43">
        <v>27357.77</v>
      </c>
      <c r="O142" s="42">
        <v>18191</v>
      </c>
      <c r="P142" s="42">
        <v>23226.67</v>
      </c>
      <c r="Q142" s="49">
        <v>21897.989999999998</v>
      </c>
      <c r="R142" s="41"/>
      <c r="S142" s="41"/>
      <c r="T142" s="41"/>
      <c r="U142" s="16">
        <f t="shared" si="18"/>
        <v>0</v>
      </c>
      <c r="V142" s="45" t="e">
        <f t="shared" si="19"/>
        <v>#DIV/0!</v>
      </c>
    </row>
    <row r="143" spans="1:22" x14ac:dyDescent="0.2">
      <c r="A143" s="3">
        <v>707100</v>
      </c>
      <c r="B143" s="3" t="s">
        <v>394</v>
      </c>
      <c r="C143" s="1">
        <v>752105</v>
      </c>
      <c r="D143" s="1" t="s">
        <v>128</v>
      </c>
      <c r="E143" s="22">
        <v>87</v>
      </c>
      <c r="F143" s="22">
        <v>14252.36</v>
      </c>
      <c r="G143" s="22">
        <v>1245</v>
      </c>
      <c r="H143" s="22">
        <v>45</v>
      </c>
      <c r="I143" s="22">
        <v>2557</v>
      </c>
      <c r="J143" s="22">
        <v>6461.46</v>
      </c>
      <c r="K143" s="22">
        <v>5182.7</v>
      </c>
      <c r="L143" s="22">
        <v>4747.8100000000004</v>
      </c>
      <c r="M143" s="22">
        <v>5961.45</v>
      </c>
      <c r="N143" s="43">
        <v>14950.38</v>
      </c>
      <c r="O143" s="42">
        <v>7552.18</v>
      </c>
      <c r="P143" s="42"/>
      <c r="Q143" s="42"/>
      <c r="R143" s="41">
        <v>24290.38</v>
      </c>
      <c r="S143" s="41">
        <v>25012.67</v>
      </c>
      <c r="T143" s="41">
        <v>24789.59</v>
      </c>
      <c r="U143" s="16">
        <f t="shared" si="18"/>
        <v>-223.07999999999811</v>
      </c>
      <c r="V143" s="45">
        <f t="shared" si="19"/>
        <v>-8.9186800129693513E-3</v>
      </c>
    </row>
    <row r="144" spans="1:22" x14ac:dyDescent="0.2">
      <c r="A144" s="3">
        <v>707100</v>
      </c>
      <c r="B144" s="3" t="s">
        <v>394</v>
      </c>
      <c r="C144" s="1">
        <v>752110</v>
      </c>
      <c r="D144" s="1" t="s">
        <v>129</v>
      </c>
      <c r="E144" s="22">
        <v>5160</v>
      </c>
      <c r="F144" s="22"/>
      <c r="G144" s="22"/>
      <c r="H144" s="22">
        <v>4343.78</v>
      </c>
      <c r="I144" s="22"/>
      <c r="J144" s="22"/>
      <c r="K144" s="22"/>
      <c r="L144" s="22"/>
      <c r="M144" s="22"/>
      <c r="N144" s="22"/>
      <c r="O144" s="22"/>
      <c r="P144" s="22"/>
      <c r="Q144" s="22"/>
      <c r="R144" s="41"/>
      <c r="S144" s="41"/>
      <c r="T144" s="41"/>
      <c r="U144" s="16">
        <f t="shared" si="18"/>
        <v>0</v>
      </c>
      <c r="V144" s="45" t="e">
        <f t="shared" si="19"/>
        <v>#DIV/0!</v>
      </c>
    </row>
    <row r="145" spans="1:22" x14ac:dyDescent="0.2">
      <c r="A145" s="3">
        <v>707101</v>
      </c>
      <c r="B145" s="3" t="s">
        <v>395</v>
      </c>
      <c r="C145" s="1">
        <v>752115</v>
      </c>
      <c r="D145" s="1" t="s">
        <v>130</v>
      </c>
      <c r="E145" s="22">
        <v>25</v>
      </c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41"/>
      <c r="S145" s="41"/>
      <c r="T145" s="41"/>
      <c r="U145" s="16">
        <f t="shared" si="18"/>
        <v>0</v>
      </c>
      <c r="V145" s="45" t="e">
        <f t="shared" si="19"/>
        <v>#DIV/0!</v>
      </c>
    </row>
    <row r="146" spans="1:22" x14ac:dyDescent="0.2">
      <c r="A146" s="3">
        <v>707153</v>
      </c>
      <c r="B146" s="3" t="s">
        <v>399</v>
      </c>
      <c r="C146" s="1">
        <v>753100</v>
      </c>
      <c r="D146" s="1" t="s">
        <v>131</v>
      </c>
      <c r="E146" s="22">
        <v>288.75</v>
      </c>
      <c r="F146" s="22">
        <v>210</v>
      </c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41">
        <v>3380</v>
      </c>
      <c r="S146" s="41"/>
      <c r="T146" s="41"/>
      <c r="U146" s="16">
        <f t="shared" ref="U146:U195" si="20">T146-S146</f>
        <v>0</v>
      </c>
      <c r="V146" s="45" t="e">
        <f t="shared" ref="V146:V196" si="21">U146/S146</f>
        <v>#DIV/0!</v>
      </c>
    </row>
    <row r="147" spans="1:22" x14ac:dyDescent="0.2">
      <c r="A147" s="3">
        <v>707001</v>
      </c>
      <c r="B147" s="3" t="s">
        <v>392</v>
      </c>
      <c r="C147" s="1">
        <v>761100</v>
      </c>
      <c r="D147" s="1" t="s">
        <v>132</v>
      </c>
      <c r="R147" s="41"/>
      <c r="S147" s="41"/>
      <c r="T147" s="41"/>
      <c r="U147" s="16">
        <f t="shared" si="20"/>
        <v>0</v>
      </c>
      <c r="V147" s="45" t="e">
        <f t="shared" si="21"/>
        <v>#DIV/0!</v>
      </c>
    </row>
    <row r="148" spans="1:22" x14ac:dyDescent="0.2">
      <c r="A148" s="3">
        <v>707001</v>
      </c>
      <c r="B148" s="3" t="s">
        <v>392</v>
      </c>
      <c r="C148" s="1">
        <v>761104</v>
      </c>
      <c r="D148" s="1" t="s">
        <v>133</v>
      </c>
      <c r="E148" s="22"/>
      <c r="F148" s="22"/>
      <c r="G148" s="22"/>
      <c r="H148" s="22"/>
      <c r="I148" s="22"/>
      <c r="J148" s="22"/>
      <c r="K148" s="22"/>
      <c r="L148" s="22">
        <v>1.98</v>
      </c>
      <c r="M148" s="22">
        <v>150.97999999999999</v>
      </c>
      <c r="N148" s="43">
        <v>25.98</v>
      </c>
      <c r="O148" s="42">
        <v>367.85</v>
      </c>
      <c r="P148" s="42">
        <v>-30</v>
      </c>
      <c r="Q148" s="49">
        <v>383.72</v>
      </c>
      <c r="R148" s="41"/>
      <c r="S148" s="41">
        <v>199</v>
      </c>
      <c r="T148" s="41">
        <v>3649.9700000000003</v>
      </c>
      <c r="U148" s="16">
        <f t="shared" si="20"/>
        <v>3450.9700000000003</v>
      </c>
      <c r="V148" s="45">
        <f t="shared" si="21"/>
        <v>17.341557788944726</v>
      </c>
    </row>
    <row r="149" spans="1:22" x14ac:dyDescent="0.2">
      <c r="A149" s="3">
        <v>707151</v>
      </c>
      <c r="B149" s="3" t="s">
        <v>397</v>
      </c>
      <c r="C149" s="57">
        <v>761105</v>
      </c>
      <c r="D149" s="57" t="s">
        <v>195</v>
      </c>
      <c r="E149" s="22"/>
      <c r="F149" s="22"/>
      <c r="G149" s="22"/>
      <c r="H149" s="22"/>
      <c r="I149" s="22"/>
      <c r="J149" s="22">
        <v>337325.12</v>
      </c>
      <c r="K149" s="22">
        <v>325760.36</v>
      </c>
      <c r="L149" s="22">
        <v>319614.83</v>
      </c>
      <c r="M149" s="22">
        <v>307503.24</v>
      </c>
      <c r="N149" s="43">
        <v>326913.36</v>
      </c>
      <c r="O149" s="42">
        <v>184033.21</v>
      </c>
      <c r="P149" s="42"/>
      <c r="Q149" s="42"/>
      <c r="R149" s="41"/>
      <c r="S149" s="41"/>
      <c r="T149" s="41"/>
      <c r="U149" s="16">
        <f t="shared" si="20"/>
        <v>0</v>
      </c>
      <c r="V149" s="45" t="e">
        <f t="shared" si="21"/>
        <v>#DIV/0!</v>
      </c>
    </row>
    <row r="150" spans="1:22" x14ac:dyDescent="0.2">
      <c r="A150" s="3">
        <v>707150</v>
      </c>
      <c r="B150" s="3" t="s">
        <v>396</v>
      </c>
      <c r="C150" s="1">
        <v>763105</v>
      </c>
      <c r="D150" s="1" t="s">
        <v>134</v>
      </c>
      <c r="E150" s="22">
        <v>1100.29</v>
      </c>
      <c r="F150" s="22">
        <v>384.03000000000003</v>
      </c>
      <c r="G150" s="22"/>
      <c r="H150" s="22"/>
      <c r="I150" s="22"/>
      <c r="J150" s="22">
        <v>94.54</v>
      </c>
      <c r="K150" s="22">
        <v>1808.39</v>
      </c>
      <c r="L150" s="22">
        <v>2708.02</v>
      </c>
      <c r="M150" s="22">
        <v>10487.460000000001</v>
      </c>
      <c r="N150" s="43">
        <v>1258.24</v>
      </c>
      <c r="O150" s="42">
        <v>669.41</v>
      </c>
      <c r="P150" s="42">
        <v>-1741.16</v>
      </c>
      <c r="Q150" s="42"/>
      <c r="R150" s="41">
        <v>731.65</v>
      </c>
      <c r="S150" s="41">
        <v>863.95</v>
      </c>
      <c r="T150" s="41">
        <v>117.24000000000001</v>
      </c>
      <c r="U150" s="16">
        <f t="shared" si="20"/>
        <v>-746.71</v>
      </c>
      <c r="V150" s="45">
        <f t="shared" si="21"/>
        <v>-0.86429770241333415</v>
      </c>
    </row>
    <row r="151" spans="1:22" x14ac:dyDescent="0.2">
      <c r="A151" s="3">
        <v>707153</v>
      </c>
      <c r="B151" s="3" t="s">
        <v>399</v>
      </c>
      <c r="C151" s="1">
        <v>764100</v>
      </c>
      <c r="D151" s="1" t="s">
        <v>135</v>
      </c>
      <c r="E151" s="22">
        <v>307587.12</v>
      </c>
      <c r="F151" s="22">
        <v>334651.12</v>
      </c>
      <c r="G151" s="22">
        <v>342590.77</v>
      </c>
      <c r="H151" s="22">
        <v>330219.62</v>
      </c>
      <c r="I151" s="22">
        <v>343467.16000000003</v>
      </c>
      <c r="J151" s="22">
        <v>58.95</v>
      </c>
      <c r="K151" s="22"/>
      <c r="L151" s="22">
        <v>-48.609999999999985</v>
      </c>
      <c r="M151" s="22"/>
      <c r="N151" s="22"/>
      <c r="O151" s="22"/>
      <c r="P151" s="22"/>
      <c r="Q151" s="22"/>
      <c r="R151" s="41"/>
      <c r="S151" s="41"/>
      <c r="T151" s="41">
        <v>76</v>
      </c>
      <c r="U151" s="16">
        <f t="shared" si="20"/>
        <v>76</v>
      </c>
      <c r="V151" s="45" t="e">
        <f t="shared" si="21"/>
        <v>#DIV/0!</v>
      </c>
    </row>
    <row r="152" spans="1:22" x14ac:dyDescent="0.2">
      <c r="A152" s="3">
        <v>707152</v>
      </c>
      <c r="B152" s="3" t="s">
        <v>398</v>
      </c>
      <c r="C152" s="1">
        <v>764104</v>
      </c>
      <c r="D152" s="1" t="s">
        <v>136</v>
      </c>
      <c r="E152" s="22">
        <v>1949.8200000000002</v>
      </c>
      <c r="F152" s="22">
        <v>1654.39</v>
      </c>
      <c r="G152" s="22">
        <v>1237.52</v>
      </c>
      <c r="H152" s="22">
        <v>3640.69</v>
      </c>
      <c r="I152" s="22">
        <v>2072.35</v>
      </c>
      <c r="J152" s="22">
        <v>1351.71</v>
      </c>
      <c r="K152" s="22">
        <v>2003.05</v>
      </c>
      <c r="L152" s="22">
        <v>2056.84</v>
      </c>
      <c r="M152" s="22">
        <v>2514.0500000000002</v>
      </c>
      <c r="N152" s="43">
        <v>2668.54</v>
      </c>
      <c r="O152" s="42">
        <v>2630.31</v>
      </c>
      <c r="P152" s="42">
        <v>2561</v>
      </c>
      <c r="Q152" s="49">
        <v>2595.0100000000002</v>
      </c>
      <c r="R152" s="41">
        <v>2216.69</v>
      </c>
      <c r="S152" s="41">
        <v>2227.2600000000002</v>
      </c>
      <c r="T152" s="41">
        <v>2301.4900000000002</v>
      </c>
      <c r="U152" s="16">
        <f t="shared" si="20"/>
        <v>74.230000000000018</v>
      </c>
      <c r="V152" s="45">
        <f t="shared" si="21"/>
        <v>3.3327945547443949E-2</v>
      </c>
    </row>
    <row r="153" spans="1:22" x14ac:dyDescent="0.2">
      <c r="A153" s="3">
        <v>707151</v>
      </c>
      <c r="B153" s="3" t="s">
        <v>397</v>
      </c>
      <c r="C153" s="1">
        <v>764110</v>
      </c>
      <c r="D153" s="1" t="s">
        <v>137</v>
      </c>
      <c r="E153" s="22">
        <v>27971.710000000003</v>
      </c>
      <c r="F153" s="22">
        <v>28507.99</v>
      </c>
      <c r="G153" s="22">
        <v>27378.27</v>
      </c>
      <c r="H153" s="22">
        <v>22813.94</v>
      </c>
      <c r="I153" s="22">
        <v>22124.38</v>
      </c>
      <c r="J153" s="22">
        <v>22157.570000000003</v>
      </c>
      <c r="K153" s="22">
        <v>23112.14</v>
      </c>
      <c r="L153" s="22">
        <v>24206.879999999997</v>
      </c>
      <c r="M153" s="22">
        <v>24065.919999999998</v>
      </c>
      <c r="N153" s="43">
        <v>24303.119999999999</v>
      </c>
      <c r="O153" s="42">
        <v>27815.91</v>
      </c>
      <c r="P153" s="42">
        <v>28132.63</v>
      </c>
      <c r="Q153" s="49">
        <v>27801</v>
      </c>
      <c r="R153" s="41">
        <v>27918.07</v>
      </c>
      <c r="S153" s="41">
        <v>27979.58</v>
      </c>
      <c r="T153" s="41">
        <v>27679.34</v>
      </c>
      <c r="U153" s="16">
        <f t="shared" si="20"/>
        <v>-300.2400000000016</v>
      </c>
      <c r="V153" s="45">
        <f t="shared" si="21"/>
        <v>-1.0730682876583622E-2</v>
      </c>
    </row>
    <row r="154" spans="1:22" x14ac:dyDescent="0.2">
      <c r="A154" s="3">
        <v>707151</v>
      </c>
      <c r="B154" s="3" t="s">
        <v>397</v>
      </c>
      <c r="C154" s="1">
        <v>764120</v>
      </c>
      <c r="D154" s="1" t="s">
        <v>138</v>
      </c>
      <c r="E154" s="22">
        <v>341.1</v>
      </c>
      <c r="F154" s="22">
        <v>145.36000000000001</v>
      </c>
      <c r="G154" s="22">
        <v>-113.72999999999999</v>
      </c>
      <c r="H154" s="22">
        <v>149.60000000000002</v>
      </c>
      <c r="I154" s="22">
        <v>139.23999999999998</v>
      </c>
      <c r="J154" s="22">
        <v>117.80000000000001</v>
      </c>
      <c r="K154" s="22">
        <v>87.45</v>
      </c>
      <c r="L154" s="22">
        <v>122.59</v>
      </c>
      <c r="M154" s="22">
        <v>116.68</v>
      </c>
      <c r="N154" s="43">
        <v>98.350000000000009</v>
      </c>
      <c r="O154" s="42">
        <v>78.97</v>
      </c>
      <c r="P154" s="42">
        <v>54.39</v>
      </c>
      <c r="Q154" s="49">
        <v>84.8</v>
      </c>
      <c r="R154" s="41"/>
      <c r="S154" s="41"/>
      <c r="T154" s="41"/>
      <c r="U154" s="16">
        <f t="shared" si="20"/>
        <v>0</v>
      </c>
      <c r="V154" s="45" t="e">
        <f t="shared" si="21"/>
        <v>#DIV/0!</v>
      </c>
    </row>
    <row r="155" spans="1:22" x14ac:dyDescent="0.2">
      <c r="C155" s="1">
        <v>764130</v>
      </c>
      <c r="D155" s="1" t="s">
        <v>139</v>
      </c>
      <c r="E155" s="22">
        <v>2.8000000000000003</v>
      </c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41"/>
      <c r="S155" s="41"/>
      <c r="T155" s="41"/>
      <c r="U155" s="16">
        <f t="shared" si="20"/>
        <v>0</v>
      </c>
      <c r="V155" s="45" t="e">
        <f t="shared" si="21"/>
        <v>#DIV/0!</v>
      </c>
    </row>
    <row r="156" spans="1:22" x14ac:dyDescent="0.2">
      <c r="A156" s="3">
        <v>707151</v>
      </c>
      <c r="B156" s="3" t="s">
        <v>397</v>
      </c>
      <c r="C156" s="1">
        <v>764140</v>
      </c>
      <c r="D156" s="1" t="s">
        <v>140</v>
      </c>
      <c r="R156" s="41"/>
      <c r="S156" s="41"/>
      <c r="T156" s="41"/>
      <c r="U156" s="16">
        <f t="shared" si="20"/>
        <v>0</v>
      </c>
      <c r="V156" s="45" t="e">
        <f t="shared" si="21"/>
        <v>#DIV/0!</v>
      </c>
    </row>
    <row r="157" spans="1:22" x14ac:dyDescent="0.2">
      <c r="A157" s="3">
        <v>707300</v>
      </c>
      <c r="B157" s="3" t="s">
        <v>401</v>
      </c>
      <c r="C157" s="1">
        <v>771100</v>
      </c>
      <c r="D157" s="1" t="s">
        <v>141</v>
      </c>
      <c r="E157" s="22">
        <v>13568.36</v>
      </c>
      <c r="F157" s="22">
        <v>16424.8</v>
      </c>
      <c r="G157" s="22">
        <v>10527.92</v>
      </c>
      <c r="H157" s="22">
        <v>2270.1799999999998</v>
      </c>
      <c r="I157" s="22">
        <v>2251.87</v>
      </c>
      <c r="J157" s="22">
        <v>3698.0299999999997</v>
      </c>
      <c r="K157" s="22">
        <v>3209.46</v>
      </c>
      <c r="L157" s="22">
        <v>2832.4800000000005</v>
      </c>
      <c r="M157" s="22">
        <v>2150.23</v>
      </c>
      <c r="N157" s="43">
        <v>836.23</v>
      </c>
      <c r="O157" s="42">
        <v>49.53</v>
      </c>
      <c r="P157" s="42">
        <v>743.91</v>
      </c>
      <c r="Q157" s="42"/>
      <c r="R157" s="41"/>
      <c r="S157" s="41"/>
      <c r="T157" s="41"/>
      <c r="U157" s="16">
        <f t="shared" si="20"/>
        <v>0</v>
      </c>
      <c r="V157" s="45" t="e">
        <f t="shared" si="21"/>
        <v>#DIV/0!</v>
      </c>
    </row>
    <row r="158" spans="1:22" x14ac:dyDescent="0.2">
      <c r="A158" s="3">
        <v>707300</v>
      </c>
      <c r="B158" s="3" t="s">
        <v>401</v>
      </c>
      <c r="C158" s="1">
        <v>771105</v>
      </c>
      <c r="D158" s="1" t="s">
        <v>142</v>
      </c>
      <c r="R158" s="41"/>
      <c r="S158" s="41"/>
      <c r="T158" s="41"/>
      <c r="U158" s="16">
        <f t="shared" si="20"/>
        <v>0</v>
      </c>
      <c r="V158" s="45" t="e">
        <f t="shared" si="21"/>
        <v>#DIV/0!</v>
      </c>
    </row>
    <row r="159" spans="1:22" x14ac:dyDescent="0.2">
      <c r="A159" s="3">
        <v>707300</v>
      </c>
      <c r="B159" s="3" t="s">
        <v>401</v>
      </c>
      <c r="C159" s="1">
        <v>771110</v>
      </c>
      <c r="D159" s="1" t="s">
        <v>143</v>
      </c>
      <c r="E159" s="22">
        <v>3613.2000000000003</v>
      </c>
      <c r="F159" s="22">
        <v>640</v>
      </c>
      <c r="G159" s="22"/>
      <c r="H159" s="22">
        <v>7762.2300000000005</v>
      </c>
      <c r="I159" s="22">
        <v>5910.86</v>
      </c>
      <c r="J159" s="22">
        <v>7048.87</v>
      </c>
      <c r="K159" s="22">
        <v>4037.4</v>
      </c>
      <c r="L159" s="22">
        <v>6817.71</v>
      </c>
      <c r="M159" s="22">
        <v>5527.34</v>
      </c>
      <c r="N159" s="43">
        <v>9361.89</v>
      </c>
      <c r="O159" s="42">
        <v>5486.79</v>
      </c>
      <c r="P159" s="42">
        <v>6022.51</v>
      </c>
      <c r="Q159" s="49">
        <v>6244.12</v>
      </c>
      <c r="R159" s="41">
        <v>3135.56</v>
      </c>
      <c r="S159" s="41">
        <v>3712.11</v>
      </c>
      <c r="T159" s="41">
        <v>4188.7300000000005</v>
      </c>
      <c r="U159" s="16">
        <f t="shared" si="20"/>
        <v>476.62000000000035</v>
      </c>
      <c r="V159" s="45">
        <f t="shared" si="21"/>
        <v>0.12839597964499982</v>
      </c>
    </row>
    <row r="160" spans="1:22" x14ac:dyDescent="0.2">
      <c r="A160" s="3">
        <v>707200</v>
      </c>
      <c r="B160" s="3" t="s">
        <v>400</v>
      </c>
      <c r="C160" s="1">
        <v>771115</v>
      </c>
      <c r="D160" s="1" t="s">
        <v>144</v>
      </c>
      <c r="R160" s="41"/>
      <c r="S160" s="41"/>
      <c r="T160" s="41"/>
      <c r="U160" s="16">
        <f t="shared" si="20"/>
        <v>0</v>
      </c>
      <c r="V160" s="45" t="e">
        <f t="shared" si="21"/>
        <v>#DIV/0!</v>
      </c>
    </row>
    <row r="161" spans="1:22" x14ac:dyDescent="0.2">
      <c r="A161" s="3">
        <v>707306</v>
      </c>
      <c r="B161" s="3" t="s">
        <v>406</v>
      </c>
      <c r="C161" s="1">
        <v>772100</v>
      </c>
      <c r="D161" s="1" t="s">
        <v>145</v>
      </c>
      <c r="E161" s="22">
        <v>1724</v>
      </c>
      <c r="F161" s="22">
        <v>2297</v>
      </c>
      <c r="G161" s="22">
        <v>2207.5</v>
      </c>
      <c r="H161" s="22">
        <v>1176</v>
      </c>
      <c r="I161" s="22"/>
      <c r="J161" s="22"/>
      <c r="K161" s="22"/>
      <c r="L161" s="22">
        <v>6341.95</v>
      </c>
      <c r="M161" s="22">
        <v>2238.3000000000002</v>
      </c>
      <c r="N161" s="43">
        <v>3207.5</v>
      </c>
      <c r="O161" s="22"/>
      <c r="P161" s="22"/>
      <c r="Q161" s="49">
        <v>1928</v>
      </c>
      <c r="R161" s="41">
        <v>4377.6499999999996</v>
      </c>
      <c r="S161" s="41">
        <v>4827.0200000000004</v>
      </c>
      <c r="T161" s="41">
        <v>738.2</v>
      </c>
      <c r="U161" s="16">
        <f t="shared" si="20"/>
        <v>-4088.8200000000006</v>
      </c>
      <c r="V161" s="45">
        <f t="shared" si="21"/>
        <v>-0.84706920625976279</v>
      </c>
    </row>
    <row r="162" spans="1:22" x14ac:dyDescent="0.2">
      <c r="A162" s="3">
        <v>702201</v>
      </c>
      <c r="B162" s="3" t="s">
        <v>443</v>
      </c>
      <c r="C162" s="1">
        <v>772105</v>
      </c>
      <c r="D162" s="1" t="s">
        <v>146</v>
      </c>
      <c r="R162" s="41"/>
      <c r="S162" s="41"/>
      <c r="T162" s="41"/>
      <c r="U162" s="16">
        <f t="shared" si="20"/>
        <v>0</v>
      </c>
      <c r="V162" s="45" t="e">
        <f t="shared" si="21"/>
        <v>#DIV/0!</v>
      </c>
    </row>
    <row r="163" spans="1:22" x14ac:dyDescent="0.2">
      <c r="A163" s="3">
        <v>707502</v>
      </c>
      <c r="B163" s="3" t="s">
        <v>444</v>
      </c>
      <c r="C163" s="1">
        <v>772115</v>
      </c>
      <c r="D163" s="1" t="s">
        <v>147</v>
      </c>
      <c r="E163" s="22">
        <v>1123.05</v>
      </c>
      <c r="F163" s="22"/>
      <c r="G163" s="22">
        <v>2059.83</v>
      </c>
      <c r="H163" s="22"/>
      <c r="I163" s="22"/>
      <c r="J163" s="22">
        <v>3138.19</v>
      </c>
      <c r="K163" s="22"/>
      <c r="L163" s="22">
        <v>3174</v>
      </c>
      <c r="M163" s="22"/>
      <c r="N163" s="22"/>
      <c r="O163" s="42">
        <v>5536.9</v>
      </c>
      <c r="P163" s="42"/>
      <c r="Q163" s="42"/>
      <c r="R163" s="41"/>
      <c r="S163" s="41"/>
      <c r="T163" s="41"/>
      <c r="U163" s="16">
        <f t="shared" si="20"/>
        <v>0</v>
      </c>
      <c r="V163" s="45" t="e">
        <f t="shared" si="21"/>
        <v>#DIV/0!</v>
      </c>
    </row>
    <row r="164" spans="1:22" x14ac:dyDescent="0.2">
      <c r="A164" s="3">
        <v>706501</v>
      </c>
      <c r="B164" s="3" t="s">
        <v>382</v>
      </c>
      <c r="C164" s="1">
        <v>772116</v>
      </c>
      <c r="D164" s="1" t="s">
        <v>148</v>
      </c>
      <c r="E164" s="22">
        <v>545.16</v>
      </c>
      <c r="F164" s="22"/>
      <c r="G164" s="22">
        <v>8832</v>
      </c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41"/>
      <c r="S164" s="41"/>
      <c r="T164" s="41"/>
      <c r="U164" s="16">
        <f t="shared" si="20"/>
        <v>0</v>
      </c>
      <c r="V164" s="45" t="e">
        <f t="shared" si="21"/>
        <v>#DIV/0!</v>
      </c>
    </row>
    <row r="165" spans="1:22" x14ac:dyDescent="0.2">
      <c r="A165" s="3">
        <v>706502</v>
      </c>
      <c r="B165" s="3" t="s">
        <v>383</v>
      </c>
      <c r="C165" s="1">
        <v>772117</v>
      </c>
      <c r="D165" s="1" t="s">
        <v>149</v>
      </c>
      <c r="E165" s="22"/>
      <c r="F165" s="22">
        <v>3957.36</v>
      </c>
      <c r="G165" s="22"/>
      <c r="H165" s="22">
        <v>4026.21</v>
      </c>
      <c r="I165" s="22"/>
      <c r="J165" s="22"/>
      <c r="K165" s="22"/>
      <c r="L165" s="22"/>
      <c r="M165" s="22"/>
      <c r="N165" s="22"/>
      <c r="O165" s="22"/>
      <c r="P165" s="22"/>
      <c r="Q165" s="22"/>
      <c r="R165" s="41"/>
      <c r="S165" s="41"/>
      <c r="T165" s="41"/>
      <c r="U165" s="16">
        <f t="shared" si="20"/>
        <v>0</v>
      </c>
      <c r="V165" s="45" t="e">
        <f t="shared" si="21"/>
        <v>#DIV/0!</v>
      </c>
    </row>
    <row r="166" spans="1:22" x14ac:dyDescent="0.2">
      <c r="A166" s="3">
        <v>707301</v>
      </c>
      <c r="B166" s="3" t="s">
        <v>402</v>
      </c>
      <c r="C166" s="1">
        <v>772120</v>
      </c>
      <c r="D166" s="1" t="s">
        <v>150</v>
      </c>
      <c r="E166" s="22"/>
      <c r="F166" s="22"/>
      <c r="G166" s="22">
        <v>99.7</v>
      </c>
      <c r="H166" s="22"/>
      <c r="I166" s="22"/>
      <c r="J166" s="22">
        <v>415.76</v>
      </c>
      <c r="K166" s="22">
        <v>111.96000000000001</v>
      </c>
      <c r="L166" s="22">
        <v>135.47999999999999</v>
      </c>
      <c r="M166" s="22">
        <v>500.56</v>
      </c>
      <c r="N166" s="43">
        <v>210.98000000000002</v>
      </c>
      <c r="O166" s="42">
        <v>457.90000000000003</v>
      </c>
      <c r="P166" s="42">
        <v>3514.28</v>
      </c>
      <c r="Q166" s="49">
        <v>91.92</v>
      </c>
      <c r="R166" s="41"/>
      <c r="S166" s="41"/>
      <c r="T166" s="41">
        <v>1226.58</v>
      </c>
      <c r="U166" s="16">
        <f t="shared" si="20"/>
        <v>1226.58</v>
      </c>
      <c r="V166" s="45" t="e">
        <f t="shared" si="21"/>
        <v>#DIV/0!</v>
      </c>
    </row>
    <row r="167" spans="1:22" x14ac:dyDescent="0.2">
      <c r="A167" s="3">
        <v>702200</v>
      </c>
      <c r="B167" s="3" t="s">
        <v>74</v>
      </c>
      <c r="C167" s="1">
        <v>772125</v>
      </c>
      <c r="D167" s="1" t="s">
        <v>151</v>
      </c>
      <c r="R167" s="41"/>
      <c r="S167" s="41"/>
      <c r="T167" s="41"/>
      <c r="U167" s="16">
        <f t="shared" si="20"/>
        <v>0</v>
      </c>
      <c r="V167" s="45" t="e">
        <f t="shared" si="21"/>
        <v>#DIV/0!</v>
      </c>
    </row>
    <row r="168" spans="1:22" x14ac:dyDescent="0.2">
      <c r="A168" s="3">
        <v>707304</v>
      </c>
      <c r="B168" s="3" t="s">
        <v>404</v>
      </c>
      <c r="C168" s="1">
        <v>772135</v>
      </c>
      <c r="D168" s="1" t="s">
        <v>152</v>
      </c>
      <c r="E168" s="22"/>
      <c r="F168" s="22"/>
      <c r="G168" s="22">
        <v>2951.28</v>
      </c>
      <c r="H168" s="22"/>
      <c r="I168" s="22"/>
      <c r="J168" s="22"/>
      <c r="K168" s="22"/>
      <c r="L168" s="22"/>
      <c r="M168" s="22"/>
      <c r="N168" s="22"/>
      <c r="O168" s="42">
        <v>687</v>
      </c>
      <c r="P168" s="42"/>
      <c r="Q168" s="42"/>
      <c r="R168" s="41"/>
      <c r="S168" s="41"/>
      <c r="T168" s="41"/>
      <c r="U168" s="16">
        <f t="shared" si="20"/>
        <v>0</v>
      </c>
      <c r="V168" s="45" t="e">
        <f t="shared" si="21"/>
        <v>#DIV/0!</v>
      </c>
    </row>
    <row r="169" spans="1:22" x14ac:dyDescent="0.2">
      <c r="A169" s="3">
        <v>707309</v>
      </c>
      <c r="B169" s="3" t="s">
        <v>408</v>
      </c>
      <c r="C169" s="1">
        <v>772140</v>
      </c>
      <c r="D169" s="1" t="s">
        <v>153</v>
      </c>
      <c r="E169" s="22">
        <v>1559.77</v>
      </c>
      <c r="F169" s="22">
        <v>1665.24</v>
      </c>
      <c r="G169" s="22">
        <v>2258.4299999999998</v>
      </c>
      <c r="H169" s="22">
        <v>2262.31</v>
      </c>
      <c r="I169" s="22">
        <v>1648.44</v>
      </c>
      <c r="J169" s="22">
        <v>2547.84</v>
      </c>
      <c r="K169" s="22">
        <v>1418.33</v>
      </c>
      <c r="L169" s="22">
        <v>1565.79</v>
      </c>
      <c r="M169" s="22">
        <v>1499.07</v>
      </c>
      <c r="N169" s="43">
        <v>2994.7799999999997</v>
      </c>
      <c r="O169" s="42">
        <v>968.84</v>
      </c>
      <c r="P169" s="42">
        <v>349.97</v>
      </c>
      <c r="Q169" s="42"/>
      <c r="R169" s="41">
        <v>872.38</v>
      </c>
      <c r="S169" s="41">
        <v>1200</v>
      </c>
      <c r="T169" s="41">
        <v>2330.9500000000003</v>
      </c>
      <c r="U169" s="16">
        <f t="shared" si="20"/>
        <v>1130.9500000000003</v>
      </c>
      <c r="V169" s="45">
        <f t="shared" si="21"/>
        <v>0.94245833333333351</v>
      </c>
    </row>
    <row r="170" spans="1:22" x14ac:dyDescent="0.2">
      <c r="A170" s="3">
        <v>707307</v>
      </c>
      <c r="B170" s="3" t="s">
        <v>407</v>
      </c>
      <c r="C170" s="1">
        <v>772150</v>
      </c>
      <c r="D170" s="1" t="s">
        <v>154</v>
      </c>
      <c r="E170" s="22"/>
      <c r="F170" s="22"/>
      <c r="G170" s="22">
        <v>6167.9000000000005</v>
      </c>
      <c r="H170" s="22"/>
      <c r="I170" s="22"/>
      <c r="J170" s="22"/>
      <c r="K170" s="22"/>
      <c r="L170" s="22"/>
      <c r="M170" s="22"/>
      <c r="N170" s="22"/>
      <c r="O170" s="22"/>
      <c r="P170" s="22">
        <v>6029.21</v>
      </c>
      <c r="Q170" s="49">
        <v>5280.18</v>
      </c>
      <c r="R170" s="41"/>
      <c r="S170" s="41"/>
      <c r="T170" s="41"/>
      <c r="U170" s="16">
        <f t="shared" si="20"/>
        <v>0</v>
      </c>
      <c r="V170" s="45" t="e">
        <f t="shared" si="21"/>
        <v>#DIV/0!</v>
      </c>
    </row>
    <row r="171" spans="1:22" x14ac:dyDescent="0.2">
      <c r="A171" s="3">
        <v>707350</v>
      </c>
      <c r="B171" s="3" t="s">
        <v>409</v>
      </c>
      <c r="C171" s="1">
        <v>773100</v>
      </c>
      <c r="D171" s="1" t="s">
        <v>155</v>
      </c>
      <c r="E171" s="22">
        <v>4671</v>
      </c>
      <c r="F171" s="22"/>
      <c r="G171" s="22">
        <v>709.37</v>
      </c>
      <c r="H171" s="22">
        <v>3122.77</v>
      </c>
      <c r="I171" s="22">
        <v>617.35</v>
      </c>
      <c r="J171" s="22">
        <v>143.55000000000001</v>
      </c>
      <c r="K171" s="22">
        <v>193</v>
      </c>
      <c r="L171" s="22"/>
      <c r="M171" s="22"/>
      <c r="N171" s="43">
        <v>1101.99</v>
      </c>
      <c r="O171" s="22"/>
      <c r="P171" s="22">
        <v>524.45000000000005</v>
      </c>
      <c r="Q171" s="49">
        <v>152.70000000000002</v>
      </c>
      <c r="R171" s="41">
        <v>152.70000000000002</v>
      </c>
      <c r="S171" s="41">
        <v>178.15</v>
      </c>
      <c r="T171" s="41"/>
      <c r="U171" s="16">
        <f t="shared" si="20"/>
        <v>-178.15</v>
      </c>
      <c r="V171" s="45">
        <f t="shared" si="21"/>
        <v>-1</v>
      </c>
    </row>
    <row r="172" spans="1:22" x14ac:dyDescent="0.2">
      <c r="A172" s="3">
        <v>707350</v>
      </c>
      <c r="B172" s="3" t="s">
        <v>409</v>
      </c>
      <c r="C172" s="57">
        <v>773105</v>
      </c>
      <c r="D172" s="57" t="s">
        <v>280</v>
      </c>
      <c r="E172" s="22"/>
      <c r="F172" s="22">
        <v>6170</v>
      </c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41"/>
      <c r="S172" s="41"/>
      <c r="T172" s="41"/>
      <c r="U172" s="16">
        <f t="shared" si="20"/>
        <v>0</v>
      </c>
      <c r="V172" s="45" t="e">
        <f t="shared" si="21"/>
        <v>#DIV/0!</v>
      </c>
    </row>
    <row r="173" spans="1:22" x14ac:dyDescent="0.2">
      <c r="A173" s="3">
        <v>707350</v>
      </c>
      <c r="B173" s="3" t="s">
        <v>409</v>
      </c>
      <c r="C173" s="1">
        <v>773110</v>
      </c>
      <c r="D173" s="1" t="s">
        <v>156</v>
      </c>
      <c r="E173" s="22">
        <v>1824</v>
      </c>
      <c r="F173" s="22">
        <v>65</v>
      </c>
      <c r="G173" s="22">
        <v>1000</v>
      </c>
      <c r="H173" s="22"/>
      <c r="I173" s="22"/>
      <c r="J173" s="22"/>
      <c r="K173" s="22"/>
      <c r="L173" s="22"/>
      <c r="M173" s="22"/>
      <c r="N173" s="22"/>
      <c r="O173" s="42">
        <v>74.2</v>
      </c>
      <c r="P173" s="42">
        <v>1500</v>
      </c>
      <c r="Q173" s="42"/>
      <c r="R173" s="41"/>
      <c r="S173" s="41"/>
      <c r="T173" s="41"/>
      <c r="U173" s="16">
        <f t="shared" si="20"/>
        <v>0</v>
      </c>
      <c r="V173" s="45" t="e">
        <f t="shared" si="21"/>
        <v>#DIV/0!</v>
      </c>
    </row>
    <row r="174" spans="1:22" x14ac:dyDescent="0.2">
      <c r="A174" s="3">
        <v>707403</v>
      </c>
      <c r="B174" s="3" t="s">
        <v>410</v>
      </c>
      <c r="C174" s="1">
        <v>773115</v>
      </c>
      <c r="D174" s="1" t="s">
        <v>157</v>
      </c>
      <c r="R174" s="41"/>
      <c r="S174" s="41"/>
      <c r="T174" s="41"/>
      <c r="U174" s="16">
        <f t="shared" si="20"/>
        <v>0</v>
      </c>
      <c r="V174" s="45" t="e">
        <f t="shared" si="21"/>
        <v>#DIV/0!</v>
      </c>
    </row>
    <row r="175" spans="1:22" x14ac:dyDescent="0.2">
      <c r="A175" s="3">
        <v>707400</v>
      </c>
      <c r="B175" s="3" t="s">
        <v>158</v>
      </c>
      <c r="C175" s="1">
        <v>773120</v>
      </c>
      <c r="D175" s="1" t="s">
        <v>158</v>
      </c>
      <c r="E175" s="22">
        <v>13978.86</v>
      </c>
      <c r="F175" s="22">
        <v>16170.34</v>
      </c>
      <c r="G175" s="22">
        <v>8725.27</v>
      </c>
      <c r="H175" s="22">
        <v>9450.48</v>
      </c>
      <c r="I175" s="22">
        <v>8008.76</v>
      </c>
      <c r="J175" s="22">
        <v>5456.12</v>
      </c>
      <c r="K175" s="22">
        <v>2721.01</v>
      </c>
      <c r="L175" s="22">
        <v>2517.2000000000003</v>
      </c>
      <c r="M175" s="22">
        <v>951.58</v>
      </c>
      <c r="N175" s="43">
        <v>65.53</v>
      </c>
      <c r="O175" s="42">
        <v>60.34</v>
      </c>
      <c r="P175" s="42">
        <v>45.04</v>
      </c>
      <c r="Q175" s="49">
        <v>75.930000000000007</v>
      </c>
      <c r="R175" s="41">
        <v>13.670000000000002</v>
      </c>
      <c r="S175" s="41">
        <v>46.79</v>
      </c>
      <c r="T175" s="41">
        <v>495.89</v>
      </c>
      <c r="U175" s="16">
        <f t="shared" si="20"/>
        <v>449.09999999999997</v>
      </c>
      <c r="V175" s="45">
        <f t="shared" si="21"/>
        <v>9.5982047446035477</v>
      </c>
    </row>
    <row r="176" spans="1:22" x14ac:dyDescent="0.2">
      <c r="A176" s="3">
        <v>702105</v>
      </c>
      <c r="B176" s="3" t="s">
        <v>350</v>
      </c>
      <c r="C176" s="1">
        <v>773125</v>
      </c>
      <c r="D176" s="1" t="s">
        <v>159</v>
      </c>
      <c r="E176" s="22"/>
      <c r="F176" s="22">
        <v>500</v>
      </c>
      <c r="G176" s="22"/>
      <c r="H176" s="22">
        <v>1499.4</v>
      </c>
      <c r="I176" s="22"/>
      <c r="J176" s="22"/>
      <c r="K176" s="22"/>
      <c r="L176" s="22"/>
      <c r="M176" s="22"/>
      <c r="N176" s="22"/>
      <c r="O176" s="22"/>
      <c r="P176" s="22"/>
      <c r="Q176" s="22"/>
      <c r="R176" s="41"/>
      <c r="S176" s="41"/>
      <c r="T176" s="41"/>
      <c r="U176" s="16">
        <f t="shared" si="20"/>
        <v>0</v>
      </c>
      <c r="V176" s="45" t="e">
        <f t="shared" si="21"/>
        <v>#DIV/0!</v>
      </c>
    </row>
    <row r="177" spans="1:22" x14ac:dyDescent="0.2">
      <c r="A177" s="3">
        <v>707505</v>
      </c>
      <c r="B177" s="3" t="s">
        <v>413</v>
      </c>
      <c r="C177" s="1">
        <v>773130</v>
      </c>
      <c r="D177" s="1" t="s">
        <v>160</v>
      </c>
      <c r="E177" s="22">
        <v>76.98</v>
      </c>
      <c r="F177" s="22"/>
      <c r="G177" s="22">
        <v>132.80000000000001</v>
      </c>
      <c r="H177" s="22"/>
      <c r="I177" s="22"/>
      <c r="J177" s="22"/>
      <c r="K177" s="22"/>
      <c r="L177" s="22"/>
      <c r="M177" s="22">
        <v>102</v>
      </c>
      <c r="N177" s="22"/>
      <c r="O177" s="22"/>
      <c r="P177" s="22"/>
      <c r="Q177" s="22"/>
      <c r="R177" s="41"/>
      <c r="S177" s="41"/>
      <c r="T177" s="41"/>
      <c r="U177" s="16">
        <f t="shared" si="20"/>
        <v>0</v>
      </c>
      <c r="V177" s="45" t="e">
        <f t="shared" si="21"/>
        <v>#DIV/0!</v>
      </c>
    </row>
    <row r="178" spans="1:22" x14ac:dyDescent="0.2">
      <c r="A178" s="3">
        <v>707505</v>
      </c>
      <c r="B178" s="3" t="s">
        <v>413</v>
      </c>
      <c r="C178" s="1">
        <v>773135</v>
      </c>
      <c r="D178" s="1" t="s">
        <v>161</v>
      </c>
      <c r="E178" s="22">
        <v>534.36</v>
      </c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41"/>
      <c r="S178" s="41"/>
      <c r="T178" s="41"/>
      <c r="U178" s="16">
        <f t="shared" si="20"/>
        <v>0</v>
      </c>
      <c r="V178" s="45" t="e">
        <f t="shared" si="21"/>
        <v>#DIV/0!</v>
      </c>
    </row>
    <row r="179" spans="1:22" x14ac:dyDescent="0.2">
      <c r="A179" s="3">
        <v>707452</v>
      </c>
      <c r="B179" s="3" t="s">
        <v>412</v>
      </c>
      <c r="C179" s="1">
        <v>773141</v>
      </c>
      <c r="D179" s="1" t="s">
        <v>162</v>
      </c>
      <c r="E179" s="22"/>
      <c r="F179" s="22"/>
      <c r="G179" s="22">
        <v>292.5</v>
      </c>
      <c r="H179" s="22">
        <v>595.41999999999996</v>
      </c>
      <c r="I179" s="22"/>
      <c r="J179" s="22"/>
      <c r="K179" s="22">
        <v>111</v>
      </c>
      <c r="L179" s="22"/>
      <c r="M179" s="22"/>
      <c r="N179" s="22"/>
      <c r="O179" s="22"/>
      <c r="P179" s="22"/>
      <c r="Q179" s="22"/>
      <c r="R179" s="41"/>
      <c r="S179" s="41"/>
      <c r="T179" s="41"/>
      <c r="U179" s="16">
        <f t="shared" si="20"/>
        <v>0</v>
      </c>
      <c r="V179" s="45" t="e">
        <f t="shared" si="21"/>
        <v>#DIV/0!</v>
      </c>
    </row>
    <row r="180" spans="1:22" x14ac:dyDescent="0.2">
      <c r="A180" s="3">
        <v>707450</v>
      </c>
      <c r="B180" s="3" t="s">
        <v>411</v>
      </c>
      <c r="C180" s="1">
        <v>773144</v>
      </c>
      <c r="D180" s="1" t="s">
        <v>163</v>
      </c>
      <c r="E180" s="22">
        <v>610.23</v>
      </c>
      <c r="F180" s="22">
        <v>602.33000000000004</v>
      </c>
      <c r="G180" s="22">
        <v>779.30000000000007</v>
      </c>
      <c r="H180" s="22">
        <v>90.87</v>
      </c>
      <c r="I180" s="22"/>
      <c r="J180" s="22"/>
      <c r="K180" s="22"/>
      <c r="L180" s="22"/>
      <c r="M180" s="22"/>
      <c r="N180" s="22"/>
      <c r="O180" s="22"/>
      <c r="P180" s="22"/>
      <c r="Q180" s="22"/>
      <c r="R180" s="41"/>
      <c r="S180" s="41"/>
      <c r="T180" s="41"/>
      <c r="U180" s="16">
        <f t="shared" si="20"/>
        <v>0</v>
      </c>
      <c r="V180" s="45" t="e">
        <f t="shared" si="21"/>
        <v>#DIV/0!</v>
      </c>
    </row>
    <row r="181" spans="1:22" x14ac:dyDescent="0.2">
      <c r="A181" s="3">
        <v>707590</v>
      </c>
      <c r="B181" s="3" t="s">
        <v>415</v>
      </c>
      <c r="C181" s="1">
        <v>774120</v>
      </c>
      <c r="D181" s="1" t="s">
        <v>164</v>
      </c>
      <c r="R181" s="41"/>
      <c r="S181" s="41"/>
      <c r="T181" s="41"/>
      <c r="U181" s="16">
        <f t="shared" si="20"/>
        <v>0</v>
      </c>
      <c r="V181" s="45" t="e">
        <f t="shared" si="21"/>
        <v>#DIV/0!</v>
      </c>
    </row>
    <row r="182" spans="1:22" x14ac:dyDescent="0.2">
      <c r="A182" s="3">
        <v>708025</v>
      </c>
      <c r="B182" s="3" t="s">
        <v>448</v>
      </c>
      <c r="C182" s="1">
        <v>781100</v>
      </c>
      <c r="D182" s="1" t="s">
        <v>165</v>
      </c>
      <c r="E182" s="22">
        <v>2798.61</v>
      </c>
      <c r="F182" s="22">
        <v>1311.9700000000003</v>
      </c>
      <c r="G182" s="22">
        <v>857.97</v>
      </c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41"/>
      <c r="S182" s="41"/>
      <c r="T182" s="41"/>
      <c r="U182" s="16">
        <f t="shared" si="20"/>
        <v>0</v>
      </c>
      <c r="V182" s="45" t="e">
        <f t="shared" si="21"/>
        <v>#DIV/0!</v>
      </c>
    </row>
    <row r="183" spans="1:22" x14ac:dyDescent="0.2">
      <c r="A183" s="3">
        <v>708021</v>
      </c>
      <c r="B183" s="3" t="s">
        <v>417</v>
      </c>
      <c r="C183" s="1">
        <v>784202</v>
      </c>
      <c r="D183" s="1" t="s">
        <v>166</v>
      </c>
      <c r="R183" s="41"/>
      <c r="S183" s="41"/>
      <c r="T183" s="41"/>
      <c r="U183" s="16">
        <f t="shared" si="20"/>
        <v>0</v>
      </c>
      <c r="V183" s="45" t="e">
        <f t="shared" si="21"/>
        <v>#DIV/0!</v>
      </c>
    </row>
    <row r="184" spans="1:22" x14ac:dyDescent="0.2">
      <c r="A184" s="3">
        <v>708023</v>
      </c>
      <c r="B184" s="3" t="s">
        <v>418</v>
      </c>
      <c r="C184" s="1">
        <v>784203</v>
      </c>
      <c r="D184" s="1" t="s">
        <v>167</v>
      </c>
      <c r="R184" s="41"/>
      <c r="S184" s="41"/>
      <c r="T184" s="41"/>
      <c r="U184" s="16">
        <f t="shared" si="20"/>
        <v>0</v>
      </c>
      <c r="V184" s="45" t="e">
        <f t="shared" si="21"/>
        <v>#DIV/0!</v>
      </c>
    </row>
    <row r="185" spans="1:22" x14ac:dyDescent="0.2">
      <c r="A185" s="3">
        <v>708061</v>
      </c>
      <c r="B185" s="3" t="s">
        <v>422</v>
      </c>
      <c r="C185" s="1">
        <v>784302</v>
      </c>
      <c r="D185" s="1" t="s">
        <v>168</v>
      </c>
      <c r="R185" s="41"/>
      <c r="S185" s="41"/>
      <c r="T185" s="41"/>
      <c r="U185" s="16">
        <f t="shared" si="20"/>
        <v>0</v>
      </c>
      <c r="V185" s="45" t="e">
        <f t="shared" si="21"/>
        <v>#DIV/0!</v>
      </c>
    </row>
    <row r="186" spans="1:22" x14ac:dyDescent="0.2">
      <c r="A186" s="3">
        <v>708063</v>
      </c>
      <c r="B186" s="3" t="s">
        <v>423</v>
      </c>
      <c r="C186" s="1">
        <v>784304</v>
      </c>
      <c r="D186" s="1" t="s">
        <v>169</v>
      </c>
      <c r="R186" s="41"/>
      <c r="S186" s="41"/>
      <c r="T186" s="41"/>
      <c r="U186" s="16">
        <f t="shared" si="20"/>
        <v>0</v>
      </c>
      <c r="V186" s="45" t="e">
        <f t="shared" si="21"/>
        <v>#DIV/0!</v>
      </c>
    </row>
    <row r="187" spans="1:22" x14ac:dyDescent="0.2">
      <c r="A187" s="3">
        <v>708030</v>
      </c>
      <c r="B187" s="3" t="s">
        <v>419</v>
      </c>
      <c r="C187" s="1">
        <v>784307</v>
      </c>
      <c r="D187" s="1" t="s">
        <v>170</v>
      </c>
      <c r="E187" s="22"/>
      <c r="F187" s="22">
        <v>5455.75</v>
      </c>
      <c r="G187" s="22"/>
      <c r="H187" s="22"/>
      <c r="I187" s="22"/>
      <c r="J187" s="22"/>
      <c r="K187" s="22"/>
      <c r="L187" s="22"/>
      <c r="M187" s="22">
        <v>5505</v>
      </c>
      <c r="N187" s="22"/>
      <c r="O187" s="22"/>
      <c r="P187" s="22"/>
      <c r="Q187" s="22"/>
      <c r="R187" s="41">
        <v>6139.5</v>
      </c>
      <c r="S187" s="41"/>
      <c r="T187" s="41"/>
      <c r="U187" s="16">
        <f t="shared" si="20"/>
        <v>0</v>
      </c>
      <c r="V187" s="45" t="e">
        <f t="shared" si="21"/>
        <v>#DIV/0!</v>
      </c>
    </row>
    <row r="188" spans="1:22" x14ac:dyDescent="0.2">
      <c r="A188" s="3">
        <v>708060</v>
      </c>
      <c r="B188" s="3" t="s">
        <v>421</v>
      </c>
      <c r="C188" s="1">
        <v>784308</v>
      </c>
      <c r="D188" s="1" t="s">
        <v>171</v>
      </c>
      <c r="E188" s="22"/>
      <c r="F188" s="22"/>
      <c r="G188" s="22"/>
      <c r="H188" s="22"/>
      <c r="I188" s="22"/>
      <c r="J188" s="22"/>
      <c r="K188" s="22">
        <v>2840</v>
      </c>
      <c r="L188" s="22"/>
      <c r="M188" s="22"/>
      <c r="N188" s="22"/>
      <c r="O188" s="22"/>
      <c r="P188" s="22"/>
      <c r="Q188" s="22"/>
      <c r="R188" s="41"/>
      <c r="S188" s="41"/>
      <c r="T188" s="41"/>
      <c r="U188" s="16">
        <f t="shared" si="20"/>
        <v>0</v>
      </c>
      <c r="V188" s="45" t="e">
        <f t="shared" si="21"/>
        <v>#DIV/0!</v>
      </c>
    </row>
    <row r="189" spans="1:22" x14ac:dyDescent="0.2">
      <c r="A189" s="3">
        <v>708040</v>
      </c>
      <c r="B189" s="3" t="s">
        <v>420</v>
      </c>
      <c r="C189" s="1">
        <v>784401</v>
      </c>
      <c r="D189" s="1" t="s">
        <v>172</v>
      </c>
      <c r="E189" s="22"/>
      <c r="F189" s="22"/>
      <c r="G189" s="22"/>
      <c r="H189" s="22"/>
      <c r="I189" s="22">
        <v>1561.19</v>
      </c>
      <c r="J189" s="22"/>
      <c r="K189" s="22">
        <v>18794.5</v>
      </c>
      <c r="L189" s="22"/>
      <c r="M189" s="22">
        <v>576.33000000000004</v>
      </c>
      <c r="N189" s="43">
        <v>4128</v>
      </c>
      <c r="O189" s="22"/>
      <c r="P189" s="22">
        <v>57907.6</v>
      </c>
      <c r="Q189" s="22"/>
      <c r="R189" s="41">
        <v>15018.96</v>
      </c>
      <c r="S189" s="41"/>
      <c r="T189" s="41"/>
      <c r="U189" s="16">
        <f t="shared" si="20"/>
        <v>0</v>
      </c>
      <c r="V189" s="45" t="e">
        <f t="shared" si="21"/>
        <v>#DIV/0!</v>
      </c>
    </row>
    <row r="190" spans="1:22" x14ac:dyDescent="0.2">
      <c r="A190" s="3">
        <v>708060</v>
      </c>
      <c r="B190" s="3" t="s">
        <v>421</v>
      </c>
      <c r="C190" s="1">
        <v>784501</v>
      </c>
      <c r="D190" s="1" t="s">
        <v>173</v>
      </c>
      <c r="E190" s="22"/>
      <c r="F190" s="22"/>
      <c r="G190" s="22"/>
      <c r="H190" s="22"/>
      <c r="I190" s="22">
        <v>3129.44</v>
      </c>
      <c r="J190" s="22">
        <v>1197.69</v>
      </c>
      <c r="K190" s="22"/>
      <c r="L190" s="22"/>
      <c r="M190" s="22"/>
      <c r="N190" s="43">
        <v>3376.31</v>
      </c>
      <c r="O190" s="22"/>
      <c r="P190" s="22">
        <v>2044.3500000000001</v>
      </c>
      <c r="Q190" s="22"/>
      <c r="R190" s="22"/>
      <c r="S190" s="22"/>
      <c r="T190" s="22"/>
      <c r="U190" s="16">
        <f t="shared" si="20"/>
        <v>0</v>
      </c>
      <c r="V190" s="45" t="e">
        <f t="shared" si="21"/>
        <v>#DIV/0!</v>
      </c>
    </row>
    <row r="191" spans="1:22" x14ac:dyDescent="0.2">
      <c r="A191" s="3">
        <v>708040</v>
      </c>
      <c r="B191" s="3" t="s">
        <v>420</v>
      </c>
      <c r="C191" s="57">
        <v>784602</v>
      </c>
      <c r="D191" s="57" t="s">
        <v>298</v>
      </c>
      <c r="E191" s="22"/>
      <c r="F191" s="22"/>
      <c r="G191" s="22"/>
      <c r="H191" s="22"/>
      <c r="I191" s="22"/>
      <c r="J191" s="22">
        <v>9982.130000000001</v>
      </c>
      <c r="K191" s="22"/>
      <c r="L191" s="22"/>
      <c r="M191" s="22"/>
      <c r="N191" s="22"/>
      <c r="O191" s="22"/>
      <c r="P191" s="22"/>
      <c r="Q191" s="22"/>
      <c r="R191" s="22"/>
      <c r="S191" s="41">
        <v>540.83000000000004</v>
      </c>
      <c r="T191" s="41"/>
      <c r="U191" s="16">
        <f t="shared" si="20"/>
        <v>-540.83000000000004</v>
      </c>
      <c r="V191" s="45">
        <f t="shared" si="21"/>
        <v>-1</v>
      </c>
    </row>
    <row r="192" spans="1:22" x14ac:dyDescent="0.2">
      <c r="A192" s="3">
        <v>708021</v>
      </c>
      <c r="B192" s="3" t="s">
        <v>417</v>
      </c>
      <c r="C192" s="1">
        <v>784604</v>
      </c>
      <c r="D192" s="1" t="s">
        <v>174</v>
      </c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16">
        <f t="shared" si="20"/>
        <v>0</v>
      </c>
      <c r="V192" s="45" t="e">
        <f t="shared" si="21"/>
        <v>#DIV/0!</v>
      </c>
    </row>
    <row r="193" spans="1:22" x14ac:dyDescent="0.2">
      <c r="A193" s="72">
        <v>713010</v>
      </c>
      <c r="B193" s="72" t="s">
        <v>479</v>
      </c>
      <c r="C193" s="1"/>
      <c r="D193" s="1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41">
        <v>-3688899</v>
      </c>
      <c r="T193" s="48">
        <f>-11348182+11348182</f>
        <v>0</v>
      </c>
      <c r="U193" s="16">
        <f t="shared" si="20"/>
        <v>3688899</v>
      </c>
      <c r="V193" s="45">
        <f t="shared" si="21"/>
        <v>-1</v>
      </c>
    </row>
    <row r="194" spans="1:22" x14ac:dyDescent="0.2">
      <c r="A194" s="3">
        <v>802402</v>
      </c>
      <c r="B194" s="3" t="s">
        <v>457</v>
      </c>
      <c r="C194" s="1">
        <v>822280</v>
      </c>
      <c r="D194" s="1" t="s">
        <v>304</v>
      </c>
      <c r="E194" s="2"/>
      <c r="F194" s="2"/>
      <c r="G194" s="2"/>
      <c r="H194" s="2"/>
      <c r="I194" s="2"/>
      <c r="J194" s="2">
        <v>1000</v>
      </c>
      <c r="K194" s="2"/>
      <c r="L194" s="2"/>
      <c r="M194" s="2"/>
      <c r="N194" s="2"/>
      <c r="O194" s="2"/>
      <c r="P194" s="2"/>
      <c r="Q194" s="2"/>
      <c r="R194" s="2"/>
      <c r="S194" s="2"/>
      <c r="T194" s="42"/>
      <c r="U194" s="16">
        <f t="shared" si="20"/>
        <v>0</v>
      </c>
      <c r="V194" s="45" t="e">
        <f t="shared" si="21"/>
        <v>#DIV/0!</v>
      </c>
    </row>
    <row r="195" spans="1:22" x14ac:dyDescent="0.2">
      <c r="C195" s="3" t="s">
        <v>234</v>
      </c>
      <c r="D195" s="3" t="s">
        <v>235</v>
      </c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16">
        <f t="shared" si="20"/>
        <v>0</v>
      </c>
      <c r="V195" s="45" t="e">
        <f t="shared" si="21"/>
        <v>#DIV/0!</v>
      </c>
    </row>
    <row r="196" spans="1:22" x14ac:dyDescent="0.2">
      <c r="D196" s="5" t="s">
        <v>233</v>
      </c>
      <c r="E196" s="11">
        <f>SUM(E81:E195)</f>
        <v>6473256.8500000024</v>
      </c>
      <c r="F196" s="11">
        <f t="shared" ref="F196:U196" si="22">SUM(F81:F195)</f>
        <v>7180673.6600000011</v>
      </c>
      <c r="G196" s="11">
        <f t="shared" si="22"/>
        <v>7814288.879999999</v>
      </c>
      <c r="H196" s="11">
        <f t="shared" si="22"/>
        <v>8222285.6300000018</v>
      </c>
      <c r="I196" s="11">
        <f t="shared" si="22"/>
        <v>8907982.1999999955</v>
      </c>
      <c r="J196" s="11">
        <f t="shared" si="22"/>
        <v>9126195.3399999999</v>
      </c>
      <c r="K196" s="11">
        <f t="shared" si="22"/>
        <v>9162730.9900000021</v>
      </c>
      <c r="L196" s="11">
        <f t="shared" si="22"/>
        <v>9449921.0400000028</v>
      </c>
      <c r="M196" s="11">
        <f t="shared" si="22"/>
        <v>9841611.0900000054</v>
      </c>
      <c r="N196" s="11">
        <f t="shared" si="22"/>
        <v>9924185.2500000019</v>
      </c>
      <c r="O196" s="11">
        <f t="shared" si="22"/>
        <v>11080223.470000001</v>
      </c>
      <c r="P196" s="11">
        <f t="shared" ref="P196:S196" si="23">SUM(P81:P195)</f>
        <v>11011098.26</v>
      </c>
      <c r="Q196" s="11">
        <f t="shared" si="23"/>
        <v>9206730.8899999987</v>
      </c>
      <c r="R196" s="11">
        <f t="shared" si="23"/>
        <v>9673290.0600000024</v>
      </c>
      <c r="S196" s="11">
        <f t="shared" si="23"/>
        <v>4873475.2599999979</v>
      </c>
      <c r="T196" s="11">
        <f t="shared" ref="T196" si="24">SUM(T81:T195)</f>
        <v>6892533.7300000004</v>
      </c>
      <c r="U196" s="20">
        <f t="shared" si="22"/>
        <v>2019058.4699999995</v>
      </c>
      <c r="V196" s="45">
        <f t="shared" si="21"/>
        <v>0.41429541800936531</v>
      </c>
    </row>
    <row r="197" spans="1:22" x14ac:dyDescent="0.2"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16"/>
      <c r="V197" s="45"/>
    </row>
    <row r="198" spans="1:22" x14ac:dyDescent="0.2">
      <c r="C198" s="3" t="s">
        <v>218</v>
      </c>
      <c r="E198" s="4"/>
      <c r="F198" s="4"/>
      <c r="G198" s="4"/>
      <c r="H198" s="4"/>
      <c r="I198" s="4">
        <v>216335.18</v>
      </c>
      <c r="J198" s="4">
        <v>219819.94</v>
      </c>
      <c r="K198" s="4">
        <v>166642.99</v>
      </c>
      <c r="L198" s="4">
        <v>194986.97</v>
      </c>
      <c r="M198" s="4">
        <v>178551.3</v>
      </c>
      <c r="N198" s="4">
        <f t="shared" ref="N198:T198" si="25">N11</f>
        <v>204051.08</v>
      </c>
      <c r="O198" s="4">
        <f t="shared" si="25"/>
        <v>160308.89000000001</v>
      </c>
      <c r="P198" s="4">
        <f t="shared" si="25"/>
        <v>175131.72</v>
      </c>
      <c r="Q198" s="4">
        <f t="shared" si="25"/>
        <v>248592.33</v>
      </c>
      <c r="R198" s="4">
        <f t="shared" si="25"/>
        <v>309239.58</v>
      </c>
      <c r="S198" s="4">
        <f t="shared" si="25"/>
        <v>193765.99</v>
      </c>
      <c r="T198" s="4">
        <f t="shared" si="25"/>
        <v>174118.07</v>
      </c>
      <c r="U198" s="16">
        <f t="shared" ref="U198" si="26">T198-S198</f>
        <v>-19647.919999999984</v>
      </c>
      <c r="V198" s="45">
        <f t="shared" ref="V198" si="27">U198/S198</f>
        <v>-0.10140025089026193</v>
      </c>
    </row>
    <row r="199" spans="1:22" x14ac:dyDescent="0.2"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16"/>
      <c r="V199" s="45"/>
    </row>
    <row r="200" spans="1:22" x14ac:dyDescent="0.2">
      <c r="C200" s="3" t="s">
        <v>219</v>
      </c>
      <c r="E200" s="4"/>
      <c r="F200" s="4"/>
      <c r="G200" s="4"/>
      <c r="H200" s="4"/>
      <c r="I200" s="4">
        <v>127153.60000000001</v>
      </c>
      <c r="J200" s="4">
        <v>121600.86</v>
      </c>
      <c r="K200" s="4">
        <v>115231.09</v>
      </c>
      <c r="L200" s="4">
        <v>126717.36</v>
      </c>
      <c r="M200" s="4">
        <v>128395.47</v>
      </c>
      <c r="N200" s="4">
        <f t="shared" ref="N200:T200" si="28">N12</f>
        <v>140597.5</v>
      </c>
      <c r="O200" s="4">
        <f t="shared" si="28"/>
        <v>158300.93</v>
      </c>
      <c r="P200" s="4">
        <f t="shared" si="28"/>
        <v>166330.84</v>
      </c>
      <c r="Q200" s="4">
        <f t="shared" si="28"/>
        <v>172563.8</v>
      </c>
      <c r="R200" s="4">
        <f t="shared" si="28"/>
        <v>172945.46</v>
      </c>
      <c r="S200" s="4">
        <f t="shared" si="28"/>
        <v>174471.74</v>
      </c>
      <c r="T200" s="4">
        <f t="shared" si="28"/>
        <v>138606.16</v>
      </c>
      <c r="U200" s="16">
        <f t="shared" ref="U200" si="29">T200-S200</f>
        <v>-35865.579999999987</v>
      </c>
      <c r="V200" s="45">
        <f t="shared" ref="V200" si="30">U200/S200</f>
        <v>-0.2055667009453794</v>
      </c>
    </row>
    <row r="201" spans="1:22" x14ac:dyDescent="0.2"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16"/>
      <c r="V201" s="45"/>
    </row>
    <row r="202" spans="1:22" ht="13.5" thickBot="1" x14ac:dyDescent="0.25">
      <c r="D202" s="14" t="s">
        <v>2</v>
      </c>
      <c r="E202" s="10">
        <f>E80+E196+SUM(E197:E201)</f>
        <v>7622219.3700000029</v>
      </c>
      <c r="F202" s="10">
        <f t="shared" ref="F202:U202" si="31">F80+F196+SUM(F197:F201)</f>
        <v>8388671.5600000005</v>
      </c>
      <c r="G202" s="10">
        <f t="shared" si="31"/>
        <v>8928480.879999999</v>
      </c>
      <c r="H202" s="10">
        <f t="shared" si="31"/>
        <v>9256980.8300000019</v>
      </c>
      <c r="I202" s="10">
        <f t="shared" si="31"/>
        <v>10318412.799999995</v>
      </c>
      <c r="J202" s="10">
        <f t="shared" si="31"/>
        <v>10521347.5</v>
      </c>
      <c r="K202" s="10">
        <f t="shared" si="31"/>
        <v>10465012.530000003</v>
      </c>
      <c r="L202" s="10">
        <f t="shared" si="31"/>
        <v>10894888.680000003</v>
      </c>
      <c r="M202" s="10">
        <f t="shared" si="31"/>
        <v>11271080.130000005</v>
      </c>
      <c r="N202" s="10">
        <f t="shared" si="31"/>
        <v>11608647.570000002</v>
      </c>
      <c r="O202" s="10">
        <f t="shared" si="31"/>
        <v>12842525.670000002</v>
      </c>
      <c r="P202" s="10">
        <f>P80+P196+SUM(P197:P201)</f>
        <v>12828695.390000001</v>
      </c>
      <c r="Q202" s="10">
        <f>Q80+Q196+SUM(Q197:Q201)</f>
        <v>11224619.539999999</v>
      </c>
      <c r="R202" s="10">
        <f>R80+R196+SUM(R197:R201)</f>
        <v>11820682.430000003</v>
      </c>
      <c r="S202" s="10">
        <f>S80+S196+SUM(S197:S201)</f>
        <v>7050031.1599999983</v>
      </c>
      <c r="T202" s="10">
        <f>T80+T196+SUM(T197:T201)</f>
        <v>8733081.6300000008</v>
      </c>
      <c r="U202" s="21">
        <f t="shared" si="31"/>
        <v>1683050.4699999997</v>
      </c>
      <c r="V202" s="45">
        <f t="shared" ref="V202" si="32">U202/S202</f>
        <v>0.2387295079700045</v>
      </c>
    </row>
    <row r="203" spans="1:22" ht="13.5" thickTop="1" x14ac:dyDescent="0.2">
      <c r="E203" s="4"/>
      <c r="F203" s="4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S203" s="4"/>
      <c r="T203" s="4"/>
    </row>
    <row r="204" spans="1:22" x14ac:dyDescent="0.2">
      <c r="C204" s="3" t="s">
        <v>220</v>
      </c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S204" s="4"/>
      <c r="T204" s="4"/>
    </row>
    <row r="205" spans="1:22" x14ac:dyDescent="0.2">
      <c r="C205" s="3" t="s">
        <v>221</v>
      </c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S205" s="4"/>
      <c r="T205" s="4"/>
    </row>
    <row r="206" spans="1:22" x14ac:dyDescent="0.2"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S206" s="4"/>
      <c r="T206" s="4"/>
    </row>
    <row r="207" spans="1:22" x14ac:dyDescent="0.2"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S207" s="4"/>
      <c r="T207" s="4"/>
    </row>
    <row r="208" spans="1:22" x14ac:dyDescent="0.2">
      <c r="C208" s="12" t="s">
        <v>482</v>
      </c>
      <c r="E208" s="4"/>
      <c r="F208" s="4"/>
      <c r="G208" s="4"/>
      <c r="H208" s="4"/>
      <c r="I208" s="4"/>
      <c r="J208" s="4"/>
      <c r="K208" s="4"/>
      <c r="L208" s="4"/>
      <c r="M208" s="4"/>
      <c r="N208" s="4"/>
      <c r="O208" s="4"/>
      <c r="P208" s="4"/>
      <c r="Q208" s="4"/>
      <c r="R208" s="4"/>
      <c r="S208" s="4"/>
      <c r="T208" s="4"/>
    </row>
  </sheetData>
  <phoneticPr fontId="10" type="noConversion"/>
  <pageMargins left="0" right="0" top="0" bottom="0.5" header="0" footer="0"/>
  <pageSetup paperSize="5" scale="90" fitToHeight="20" orientation="landscape" r:id="rId1"/>
  <headerFooter>
    <oddFooter>&amp;R&amp;8Page &amp;P of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4FBA33-6EFA-4DA6-A60A-A4B716999AA4}">
  <dimension ref="A1"/>
  <sheetViews>
    <sheetView topLeftCell="H1" workbookViewId="0">
      <selection activeCell="AA15" sqref="AA15"/>
    </sheetView>
  </sheetViews>
  <sheetFormatPr defaultRowHeight="12.75" x14ac:dyDescent="0.2"/>
  <sheetData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232"/>
  <sheetViews>
    <sheetView tabSelected="1" zoomScaleNormal="100" workbookViewId="0">
      <pane xSplit="4" ySplit="7" topLeftCell="S8" activePane="bottomRight" state="frozen"/>
      <selection pane="topRight" activeCell="C1" sqref="C1"/>
      <selection pane="bottomLeft" activeCell="A8" sqref="A8"/>
      <selection pane="bottomRight" activeCell="V18" sqref="V18"/>
    </sheetView>
  </sheetViews>
  <sheetFormatPr defaultColWidth="9.140625" defaultRowHeight="12.75" x14ac:dyDescent="0.2"/>
  <cols>
    <col min="1" max="1" width="7.5703125" style="3" customWidth="1"/>
    <col min="2" max="2" width="36.85546875" style="3" bestFit="1" customWidth="1"/>
    <col min="3" max="3" width="9.42578125" style="3" customWidth="1"/>
    <col min="4" max="4" width="23.5703125" style="3" customWidth="1"/>
    <col min="5" max="13" width="14" style="3" customWidth="1"/>
    <col min="14" max="20" width="15" style="3" customWidth="1"/>
    <col min="21" max="21" width="14.7109375" style="3" customWidth="1"/>
    <col min="22" max="22" width="14.710937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226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49834894.799999997</v>
      </c>
      <c r="F9" s="4">
        <v>52370044.68</v>
      </c>
      <c r="G9" s="4">
        <v>55912180.440000005</v>
      </c>
      <c r="H9" s="4">
        <v>59368779.149999999</v>
      </c>
      <c r="I9" s="4">
        <v>57636235.890000001</v>
      </c>
      <c r="J9" s="4">
        <v>61732825.07</v>
      </c>
      <c r="K9" s="4">
        <v>62956857.090000004</v>
      </c>
      <c r="L9" s="4">
        <v>68716623.600000009</v>
      </c>
      <c r="M9" s="4">
        <v>75588977.879999995</v>
      </c>
      <c r="N9" s="4">
        <v>84149313.829999998</v>
      </c>
      <c r="O9" s="4">
        <v>90745631.590000004</v>
      </c>
      <c r="P9" s="4">
        <f>60233629.96+32205733.1</f>
        <v>92439363.060000002</v>
      </c>
      <c r="Q9" s="4">
        <f>58140636.66+32295167.43</f>
        <v>90435804.090000004</v>
      </c>
      <c r="R9" s="4">
        <f>61924474.54+38268367.55</f>
        <v>100192842.09</v>
      </c>
      <c r="S9" s="4">
        <f>63906734.27+39569442.54</f>
        <v>103476176.81</v>
      </c>
      <c r="T9" s="4">
        <f>63006841.38+41144054.83</f>
        <v>104150896.21000001</v>
      </c>
      <c r="U9" s="16">
        <f>T9-S9</f>
        <v>674719.40000000596</v>
      </c>
      <c r="V9" s="45">
        <f>U9/S9</f>
        <v>6.5205288869428025E-3</v>
      </c>
    </row>
    <row r="10" spans="1:22" x14ac:dyDescent="0.2">
      <c r="C10" s="3" t="s">
        <v>1</v>
      </c>
      <c r="E10" s="4">
        <v>2007035.77</v>
      </c>
      <c r="F10" s="4">
        <v>1450284.11</v>
      </c>
      <c r="G10" s="4">
        <v>1263765.8999999999</v>
      </c>
      <c r="H10" s="4">
        <v>1469530.32</v>
      </c>
      <c r="I10" s="4">
        <v>1133554.3700000001</v>
      </c>
      <c r="J10" s="4">
        <v>1788647.09</v>
      </c>
      <c r="K10" s="4">
        <v>1388485.36</v>
      </c>
      <c r="L10" s="4">
        <v>1399864.13</v>
      </c>
      <c r="M10" s="4">
        <v>1581328.15</v>
      </c>
      <c r="N10" s="4">
        <v>1543300.34</v>
      </c>
      <c r="O10" s="4">
        <v>2800467.97</v>
      </c>
      <c r="P10" s="4">
        <v>2819412.11</v>
      </c>
      <c r="Q10" s="4">
        <v>3534577.41</v>
      </c>
      <c r="R10" s="4">
        <v>2536942.7200000002</v>
      </c>
      <c r="S10" s="4">
        <v>2117259.59</v>
      </c>
      <c r="T10" s="4">
        <f>2241322.92</f>
        <v>2241322.92</v>
      </c>
      <c r="U10" s="16">
        <f t="shared" ref="U10:U12" si="0">T10-S10</f>
        <v>124063.33000000007</v>
      </c>
      <c r="V10" s="45">
        <f t="shared" ref="V10:V13" si="1">U10/S10</f>
        <v>5.8596182813841963E-2</v>
      </c>
    </row>
    <row r="11" spans="1:22" x14ac:dyDescent="0.2">
      <c r="C11" s="3" t="s">
        <v>218</v>
      </c>
      <c r="E11" s="4"/>
      <c r="F11" s="4"/>
      <c r="G11" s="4"/>
      <c r="H11" s="4"/>
      <c r="I11" s="4">
        <v>11713323.74</v>
      </c>
      <c r="J11" s="4">
        <v>12877696.23</v>
      </c>
      <c r="K11" s="4">
        <v>10281506.359999999</v>
      </c>
      <c r="L11" s="4">
        <v>11928498.57</v>
      </c>
      <c r="M11" s="4">
        <v>12016868.449999999</v>
      </c>
      <c r="N11" s="4">
        <v>12814781.26</v>
      </c>
      <c r="O11" s="4">
        <v>10076068.01</v>
      </c>
      <c r="P11" s="4">
        <v>10967200.970000001</v>
      </c>
      <c r="Q11" s="4">
        <v>14079782.789999999</v>
      </c>
      <c r="R11" s="4">
        <v>18606447.48</v>
      </c>
      <c r="S11" s="4">
        <v>11087741.43</v>
      </c>
      <c r="T11" s="4">
        <f>11869532.36</f>
        <v>11869532.359999999</v>
      </c>
      <c r="U11" s="16">
        <f t="shared" si="0"/>
        <v>781790.9299999997</v>
      </c>
      <c r="V11" s="45">
        <f t="shared" si="1"/>
        <v>7.0509484274652659E-2</v>
      </c>
    </row>
    <row r="12" spans="1:22" x14ac:dyDescent="0.2">
      <c r="C12" s="3" t="s">
        <v>219</v>
      </c>
      <c r="E12" s="4"/>
      <c r="F12" s="4"/>
      <c r="G12" s="4"/>
      <c r="H12" s="4"/>
      <c r="I12" s="4">
        <v>6884646.3200000003</v>
      </c>
      <c r="J12" s="4">
        <v>7123734.6699999999</v>
      </c>
      <c r="K12" s="4">
        <v>7109497.0999999996</v>
      </c>
      <c r="L12" s="4">
        <v>7752046.1500000004</v>
      </c>
      <c r="M12" s="4">
        <v>8641277.7300000004</v>
      </c>
      <c r="N12" s="4">
        <v>8829780.5</v>
      </c>
      <c r="O12" s="4">
        <v>9949860.0800000001</v>
      </c>
      <c r="P12" s="4">
        <v>10416067.720000001</v>
      </c>
      <c r="Q12" s="4">
        <v>9773676.3599999994</v>
      </c>
      <c r="R12" s="4">
        <v>10405850.51</v>
      </c>
      <c r="S12" s="4">
        <v>9983679.5</v>
      </c>
      <c r="T12" s="4">
        <f>9448705.2</f>
        <v>9448705.1999999993</v>
      </c>
      <c r="U12" s="16">
        <f t="shared" si="0"/>
        <v>-534974.30000000075</v>
      </c>
      <c r="V12" s="45">
        <f t="shared" si="1"/>
        <v>-5.3584883208640736E-2</v>
      </c>
    </row>
    <row r="13" spans="1:22" ht="13.5" thickBot="1" x14ac:dyDescent="0.25">
      <c r="C13" s="3" t="s">
        <v>2</v>
      </c>
      <c r="E13" s="10">
        <f t="shared" ref="E13:U13" si="2">SUM(E9:E12)</f>
        <v>51841930.57</v>
      </c>
      <c r="F13" s="10">
        <f t="shared" si="2"/>
        <v>53820328.789999999</v>
      </c>
      <c r="G13" s="10">
        <f t="shared" si="2"/>
        <v>57175946.340000004</v>
      </c>
      <c r="H13" s="10">
        <f t="shared" si="2"/>
        <v>60838309.469999999</v>
      </c>
      <c r="I13" s="10">
        <f t="shared" si="2"/>
        <v>77367760.319999993</v>
      </c>
      <c r="J13" s="10">
        <f t="shared" si="2"/>
        <v>83522903.060000002</v>
      </c>
      <c r="K13" s="10">
        <f t="shared" si="2"/>
        <v>81736345.909999996</v>
      </c>
      <c r="L13" s="10">
        <f t="shared" si="2"/>
        <v>89797032.450000018</v>
      </c>
      <c r="M13" s="10">
        <f t="shared" si="2"/>
        <v>97828452.210000008</v>
      </c>
      <c r="N13" s="10">
        <f t="shared" si="2"/>
        <v>107337175.93000001</v>
      </c>
      <c r="O13" s="10">
        <f t="shared" si="2"/>
        <v>113572027.65000001</v>
      </c>
      <c r="P13" s="10">
        <f t="shared" si="2"/>
        <v>116642043.86</v>
      </c>
      <c r="Q13" s="10">
        <f t="shared" si="2"/>
        <v>117823840.64999999</v>
      </c>
      <c r="R13" s="10">
        <f t="shared" si="2"/>
        <v>131742082.80000001</v>
      </c>
      <c r="S13" s="10">
        <f t="shared" si="2"/>
        <v>126664857.33000001</v>
      </c>
      <c r="T13" s="10">
        <f t="shared" si="2"/>
        <v>127710456.69000001</v>
      </c>
      <c r="U13" s="21">
        <f t="shared" si="2"/>
        <v>1045599.360000005</v>
      </c>
      <c r="V13" s="45">
        <f t="shared" si="1"/>
        <v>8.2548497037019872E-3</v>
      </c>
    </row>
    <row r="14" spans="1:22" ht="13.5" thickTop="1" x14ac:dyDescent="0.2">
      <c r="U14" s="16"/>
    </row>
    <row r="15" spans="1:22" x14ac:dyDescent="0.2">
      <c r="C15" s="8" t="s">
        <v>217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44" t="s">
        <v>455</v>
      </c>
      <c r="B16" s="44"/>
      <c r="C16" s="75" t="s">
        <v>473</v>
      </c>
      <c r="U16" s="16"/>
    </row>
    <row r="17" spans="1:22" x14ac:dyDescent="0.2">
      <c r="A17" s="9" t="s">
        <v>214</v>
      </c>
      <c r="B17" s="9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">
        <v>7527979.7300000004</v>
      </c>
      <c r="F18" s="2">
        <v>7521281.4700000016</v>
      </c>
      <c r="G18" s="2">
        <v>7308582.2000000011</v>
      </c>
      <c r="H18" s="2">
        <v>7668553.299999998</v>
      </c>
      <c r="I18" s="2">
        <v>5669094.4499999993</v>
      </c>
      <c r="J18" s="2">
        <v>6222109.4400000004</v>
      </c>
      <c r="K18" s="2">
        <v>6948646.4800000014</v>
      </c>
      <c r="L18" s="2">
        <v>10769663.140000002</v>
      </c>
      <c r="M18" s="2">
        <v>14273976.390000001</v>
      </c>
      <c r="N18" s="43">
        <v>17723399.309999995</v>
      </c>
      <c r="O18" s="42">
        <f>19651396.76+2427463.8</f>
        <v>22078860.560000002</v>
      </c>
      <c r="P18" s="42">
        <f>20323107.71+2273810.11</f>
        <v>22596917.82</v>
      </c>
      <c r="Q18" s="42">
        <f>18722850.23+2195890.83</f>
        <v>20918741.060000002</v>
      </c>
      <c r="R18" s="36">
        <f>42841249.73+4567505.39</f>
        <v>47408755.119999997</v>
      </c>
      <c r="S18" s="41">
        <f>43500132.43+5228572.83</f>
        <v>48728705.259999998</v>
      </c>
      <c r="T18" s="41">
        <f>44418909.67+5226597.04</f>
        <v>49645506.710000001</v>
      </c>
      <c r="U18" s="16">
        <f>T18-S18</f>
        <v>916801.45000000298</v>
      </c>
      <c r="V18" s="45">
        <f>U18/S18</f>
        <v>1.8814402006132904E-2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">
        <v>958282.91999999993</v>
      </c>
      <c r="F19" s="2">
        <v>866089.38000000012</v>
      </c>
      <c r="G19" s="2">
        <v>687446.84000000008</v>
      </c>
      <c r="H19" s="2">
        <v>489185.29000000004</v>
      </c>
      <c r="I19" s="2">
        <v>286307.83</v>
      </c>
      <c r="J19" s="2">
        <v>298174.63</v>
      </c>
      <c r="K19" s="2">
        <v>306718.84999999998</v>
      </c>
      <c r="L19" s="2">
        <v>307515</v>
      </c>
      <c r="M19" s="2">
        <v>321280.40999999997</v>
      </c>
      <c r="N19" s="43">
        <v>335352.15999999997</v>
      </c>
      <c r="O19" s="42">
        <v>352061.10000000003</v>
      </c>
      <c r="P19" s="42">
        <v>365601.83</v>
      </c>
      <c r="Q19" s="42">
        <v>348047.27</v>
      </c>
      <c r="R19" s="42"/>
      <c r="S19" s="42"/>
      <c r="T19" s="42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">
        <v>292298.89</v>
      </c>
      <c r="F20" s="2">
        <v>370086.71</v>
      </c>
      <c r="G20" s="2">
        <v>338813.91000000003</v>
      </c>
      <c r="H20" s="2">
        <v>360281.25</v>
      </c>
      <c r="I20" s="2">
        <v>232297.49</v>
      </c>
      <c r="J20" s="2">
        <v>257114.69</v>
      </c>
      <c r="K20" s="2">
        <v>327914.77</v>
      </c>
      <c r="L20" s="2">
        <v>269713.43000000005</v>
      </c>
      <c r="M20" s="2">
        <v>513855.01</v>
      </c>
      <c r="N20" s="43">
        <v>643519.53</v>
      </c>
      <c r="O20" s="42">
        <f>747038.86+2245.83</f>
        <v>749284.69</v>
      </c>
      <c r="P20" s="42">
        <v>819845.79</v>
      </c>
      <c r="Q20" s="42">
        <v>695785.79999999993</v>
      </c>
      <c r="R20" s="42"/>
      <c r="S20" s="42"/>
      <c r="T20" s="42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">
        <v>877664.52000000014</v>
      </c>
      <c r="F21" s="2">
        <v>875133.65000000014</v>
      </c>
      <c r="G21" s="2">
        <v>836056.58</v>
      </c>
      <c r="H21" s="2">
        <v>839055.59</v>
      </c>
      <c r="I21" s="2">
        <v>764784.62</v>
      </c>
      <c r="J21" s="2">
        <v>889718.35000000009</v>
      </c>
      <c r="K21" s="2">
        <v>626462.96</v>
      </c>
      <c r="L21" s="2">
        <v>463841.26000000007</v>
      </c>
      <c r="M21" s="2">
        <v>346086.62</v>
      </c>
      <c r="N21" s="43">
        <v>230894.32</v>
      </c>
      <c r="O21" s="42">
        <v>233522.40000000002</v>
      </c>
      <c r="P21" s="42">
        <v>307676.58</v>
      </c>
      <c r="Q21" s="42">
        <v>173390.78999999998</v>
      </c>
      <c r="R21" s="42"/>
      <c r="S21" s="42"/>
      <c r="T21" s="42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">
        <v>20285374.219999995</v>
      </c>
      <c r="F22" s="2">
        <v>21122488.34</v>
      </c>
      <c r="G22" s="2">
        <v>23548100.75</v>
      </c>
      <c r="H22" s="2">
        <v>24917142.459999997</v>
      </c>
      <c r="I22" s="2">
        <v>25758651.129999995</v>
      </c>
      <c r="J22" s="2">
        <v>27248589.809999999</v>
      </c>
      <c r="K22" s="2">
        <v>27078038.119999997</v>
      </c>
      <c r="L22" s="2">
        <v>24126191.170000009</v>
      </c>
      <c r="M22" s="2">
        <v>23026337.350000001</v>
      </c>
      <c r="N22" s="43">
        <v>21788954.27</v>
      </c>
      <c r="O22" s="42">
        <f>20905747.55+353404.91</f>
        <v>21259152.460000001</v>
      </c>
      <c r="P22" s="42">
        <f>21185443.59+384370.58</f>
        <v>21569814.169999998</v>
      </c>
      <c r="Q22" s="42">
        <f>20958708.58+361807.96</f>
        <v>21320516.539999999</v>
      </c>
      <c r="R22" s="42"/>
      <c r="S22" s="42"/>
      <c r="T22" s="42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">
        <v>1700635.4100000004</v>
      </c>
      <c r="F23" s="2">
        <v>1633723.1099999999</v>
      </c>
      <c r="G23" s="2">
        <v>1794083.8999999994</v>
      </c>
      <c r="H23" s="2">
        <v>1742924.55</v>
      </c>
      <c r="I23" s="2">
        <v>1841423.93</v>
      </c>
      <c r="J23" s="2">
        <v>1791705.3</v>
      </c>
      <c r="K23" s="2">
        <v>2059401.9700000004</v>
      </c>
      <c r="L23" s="2">
        <v>1544042.7299999995</v>
      </c>
      <c r="M23" s="2">
        <v>1060572.51</v>
      </c>
      <c r="N23" s="43">
        <v>1126840.07</v>
      </c>
      <c r="O23" s="42">
        <f>1197692.68+14937.74</f>
        <v>1212630.42</v>
      </c>
      <c r="P23" s="42">
        <f>1263400.1+16657.64</f>
        <v>1280057.74</v>
      </c>
      <c r="Q23" s="42">
        <f>897174.09+13086.65</f>
        <v>910260.74</v>
      </c>
      <c r="R23" s="42"/>
      <c r="S23" s="42"/>
      <c r="T23" s="42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>
        <v>137516.09</v>
      </c>
      <c r="K24" s="2">
        <v>264672.65999999997</v>
      </c>
      <c r="L24" s="2">
        <v>348764.54000000004</v>
      </c>
      <c r="M24" s="2">
        <v>261238.37</v>
      </c>
      <c r="N24" s="43">
        <v>174201.09</v>
      </c>
      <c r="O24" s="42">
        <v>231534.09999999998</v>
      </c>
      <c r="P24" s="42">
        <v>271289.99</v>
      </c>
      <c r="Q24" s="42">
        <v>136887.9</v>
      </c>
      <c r="R24" s="42"/>
      <c r="S24" s="42"/>
      <c r="T24" s="4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43"/>
      <c r="O25" s="42">
        <f>4658.69+526.09</f>
        <v>5184.78</v>
      </c>
      <c r="P25" s="42">
        <f>11310.43+5998.33</f>
        <v>17308.760000000002</v>
      </c>
      <c r="Q25" s="42">
        <f>7484.88+85.74</f>
        <v>7570.62</v>
      </c>
      <c r="R25" s="42"/>
      <c r="S25" s="42"/>
      <c r="T25" s="42"/>
      <c r="U25" s="16"/>
      <c r="V25" s="45"/>
    </row>
    <row r="26" spans="1:22" x14ac:dyDescent="0.2">
      <c r="C26" s="1"/>
      <c r="D26" s="5" t="s">
        <v>229</v>
      </c>
      <c r="E26" s="6">
        <f t="shared" ref="E26:U26" si="3">SUM(E18:E25)</f>
        <v>31642235.689999994</v>
      </c>
      <c r="F26" s="6">
        <f t="shared" si="3"/>
        <v>32388802.660000004</v>
      </c>
      <c r="G26" s="6">
        <f t="shared" si="3"/>
        <v>34513084.18</v>
      </c>
      <c r="H26" s="6">
        <f t="shared" si="3"/>
        <v>36017142.43999999</v>
      </c>
      <c r="I26" s="6">
        <f t="shared" si="3"/>
        <v>34552559.449999996</v>
      </c>
      <c r="J26" s="6">
        <f t="shared" si="3"/>
        <v>36844928.310000002</v>
      </c>
      <c r="K26" s="6">
        <f t="shared" si="3"/>
        <v>37611855.809999995</v>
      </c>
      <c r="L26" s="6">
        <f t="shared" si="3"/>
        <v>37829731.270000011</v>
      </c>
      <c r="M26" s="6">
        <f t="shared" si="3"/>
        <v>39803346.659999996</v>
      </c>
      <c r="N26" s="6">
        <f t="shared" si="3"/>
        <v>42023160.75</v>
      </c>
      <c r="O26" s="6">
        <f t="shared" si="3"/>
        <v>46122230.510000013</v>
      </c>
      <c r="P26" s="6">
        <f t="shared" si="3"/>
        <v>47228512.68</v>
      </c>
      <c r="Q26" s="6">
        <f t="shared" si="3"/>
        <v>44511200.719999999</v>
      </c>
      <c r="R26" s="6">
        <f t="shared" si="3"/>
        <v>47408755.119999997</v>
      </c>
      <c r="S26" s="6">
        <f t="shared" si="3"/>
        <v>48728705.259999998</v>
      </c>
      <c r="T26" s="6">
        <f t="shared" si="3"/>
        <v>49645506.710000001</v>
      </c>
      <c r="U26" s="17">
        <f t="shared" si="3"/>
        <v>916801.45000000298</v>
      </c>
      <c r="V26" s="45">
        <f t="shared" ref="V26:V84" si="4">U26/S26</f>
        <v>1.8814402006132904E-2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">
        <v>2823.12</v>
      </c>
      <c r="F27" s="2">
        <v>-1123.5899999999999</v>
      </c>
      <c r="G27" s="2">
        <v>-182.15</v>
      </c>
      <c r="H27" s="2">
        <v>-521.31000000000006</v>
      </c>
      <c r="I27" s="2">
        <v>-98.18</v>
      </c>
      <c r="J27" s="2">
        <v>18162.8</v>
      </c>
      <c r="K27" s="2">
        <v>-17969.79</v>
      </c>
      <c r="L27" s="2">
        <v>403.25</v>
      </c>
      <c r="M27" s="22">
        <v>1007.36</v>
      </c>
      <c r="N27" s="43">
        <v>157.04</v>
      </c>
      <c r="O27" s="48">
        <f>1074.1+255.26</f>
        <v>1329.36</v>
      </c>
      <c r="P27" s="42">
        <f>56376.09+19136.57</f>
        <v>75512.66</v>
      </c>
      <c r="Q27" s="42">
        <f>247110.06+11095-0.01</f>
        <v>258205.05</v>
      </c>
      <c r="R27" s="36">
        <f>113934.69+(-33796)</f>
        <v>80138.69</v>
      </c>
      <c r="S27" s="41">
        <f>-113018.93+9670.83</f>
        <v>-103348.09999999999</v>
      </c>
      <c r="T27" s="41">
        <f>(-107641.19)+7390.64</f>
        <v>-100250.55</v>
      </c>
      <c r="U27" s="16">
        <f t="shared" ref="U27:U68" si="5">T27-S27</f>
        <v>3097.5499999999884</v>
      </c>
      <c r="V27" s="45">
        <f t="shared" si="4"/>
        <v>-2.9972007226064037E-2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E28" s="2">
        <v>4521111.91</v>
      </c>
      <c r="F28" s="2">
        <v>5173234.7600000007</v>
      </c>
      <c r="G28" s="2">
        <v>5426823.6999999993</v>
      </c>
      <c r="H28" s="2">
        <v>5976345.5800000019</v>
      </c>
      <c r="I28" s="2">
        <v>6312825.4499999965</v>
      </c>
      <c r="J28" s="2">
        <v>7051521.7699999996</v>
      </c>
      <c r="K28" s="2">
        <v>7346739.5700000003</v>
      </c>
      <c r="L28" s="2">
        <v>9484657.0600000005</v>
      </c>
      <c r="M28" s="22">
        <v>9344267.9800000004</v>
      </c>
      <c r="N28" s="43">
        <v>9814908.5099999998</v>
      </c>
      <c r="O28" s="48">
        <v>10441637.779999999</v>
      </c>
      <c r="P28" s="42">
        <v>10129738.249999998</v>
      </c>
      <c r="Q28" s="42">
        <v>10845939.060000001</v>
      </c>
      <c r="R28" s="36">
        <v>11387138.67</v>
      </c>
      <c r="S28" s="41">
        <v>11888927.129999999</v>
      </c>
      <c r="T28" s="41">
        <f>10295196.03</f>
        <v>10295196.029999999</v>
      </c>
      <c r="U28" s="16">
        <f t="shared" si="5"/>
        <v>-1593731.0999999996</v>
      </c>
      <c r="V28" s="45">
        <f t="shared" si="4"/>
        <v>-0.13405171741514407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E29" s="2">
        <v>96341.99</v>
      </c>
      <c r="F29" s="2">
        <v>94689.84</v>
      </c>
      <c r="G29" s="2">
        <v>114077.97000000002</v>
      </c>
      <c r="H29" s="2">
        <v>128658.88</v>
      </c>
      <c r="I29" s="2">
        <v>139990.53</v>
      </c>
      <c r="J29" s="2">
        <v>166211.44</v>
      </c>
      <c r="K29" s="2">
        <v>163437.35</v>
      </c>
      <c r="L29" s="2">
        <v>196488.99</v>
      </c>
      <c r="M29" s="22">
        <v>223807.91</v>
      </c>
      <c r="N29" s="43">
        <v>281192.61</v>
      </c>
      <c r="O29" s="48">
        <f>291199.69+3338.24</f>
        <v>294537.93</v>
      </c>
      <c r="P29" s="42">
        <f>263240.48+10273.63</f>
        <v>273514.11</v>
      </c>
      <c r="Q29" s="42">
        <f>270757.27+16500.48</f>
        <v>287257.75</v>
      </c>
      <c r="R29" s="36">
        <f>230146.23+16549.44</f>
        <v>246695.67</v>
      </c>
      <c r="S29" s="41">
        <f>278274.93+4174.21</f>
        <v>282449.14</v>
      </c>
      <c r="T29" s="41">
        <f>189991.81</f>
        <v>189991.81</v>
      </c>
      <c r="U29" s="16">
        <f t="shared" si="5"/>
        <v>-92457.330000000016</v>
      </c>
      <c r="V29" s="45">
        <f t="shared" si="4"/>
        <v>-0.32734151713119047</v>
      </c>
    </row>
    <row r="30" spans="1:22" x14ac:dyDescent="0.2">
      <c r="A30" s="3">
        <v>601100</v>
      </c>
      <c r="B30" s="3" t="s">
        <v>318</v>
      </c>
      <c r="C30" s="1">
        <v>612205</v>
      </c>
      <c r="D30" s="1" t="s">
        <v>21</v>
      </c>
      <c r="E30" s="2">
        <v>108898.19</v>
      </c>
      <c r="F30" s="2">
        <v>111028.12</v>
      </c>
      <c r="G30" s="2">
        <v>100351.89</v>
      </c>
      <c r="H30" s="2">
        <v>103548.43</v>
      </c>
      <c r="I30" s="2">
        <v>116226.7</v>
      </c>
      <c r="J30" s="2">
        <v>122796.51</v>
      </c>
      <c r="K30" s="2">
        <v>130050.59000000001</v>
      </c>
      <c r="L30" s="2">
        <v>128495.22</v>
      </c>
      <c r="M30" s="22">
        <v>98736.36</v>
      </c>
      <c r="N30" s="43">
        <v>87995.61</v>
      </c>
      <c r="O30" s="48">
        <f>63427.67+6348.28</f>
        <v>69775.95</v>
      </c>
      <c r="P30" s="42">
        <f>67618.89+6052.03</f>
        <v>73670.92</v>
      </c>
      <c r="Q30" s="42">
        <f>70333.28+6270.52</f>
        <v>76603.8</v>
      </c>
      <c r="R30" s="36">
        <f>68137.28+7312.09</f>
        <v>75449.37</v>
      </c>
      <c r="S30" s="41">
        <f>33172.71+21961.53</f>
        <v>55134.239999999998</v>
      </c>
      <c r="T30" s="41">
        <f>53167.94+7044.19</f>
        <v>60212.130000000005</v>
      </c>
      <c r="U30" s="16">
        <f t="shared" si="5"/>
        <v>5077.8900000000067</v>
      </c>
      <c r="V30" s="45">
        <f t="shared" si="4"/>
        <v>9.2100480572508248E-2</v>
      </c>
    </row>
    <row r="31" spans="1:22" x14ac:dyDescent="0.2">
      <c r="A31" s="3">
        <v>601510</v>
      </c>
      <c r="B31" s="3" t="s">
        <v>22</v>
      </c>
      <c r="C31" s="1">
        <v>612220</v>
      </c>
      <c r="D31" s="1" t="s">
        <v>22</v>
      </c>
      <c r="E31" s="2">
        <v>7040</v>
      </c>
      <c r="F31" s="2"/>
      <c r="G31" s="2"/>
      <c r="H31" s="2"/>
      <c r="I31" s="2"/>
      <c r="J31" s="2"/>
      <c r="K31" s="2"/>
      <c r="L31" s="2"/>
      <c r="M31" s="22"/>
      <c r="N31" s="43"/>
      <c r="O31" s="47"/>
      <c r="P31" s="42"/>
      <c r="Q31" s="42"/>
      <c r="R31" s="42"/>
      <c r="S31" s="42"/>
      <c r="T31" s="42"/>
      <c r="U31" s="16">
        <f t="shared" si="5"/>
        <v>0</v>
      </c>
      <c r="V31" s="45" t="e">
        <f t="shared" si="4"/>
        <v>#DIV/0!</v>
      </c>
    </row>
    <row r="32" spans="1:22" x14ac:dyDescent="0.2">
      <c r="A32" s="3">
        <v>601306</v>
      </c>
      <c r="B32" s="3" t="s">
        <v>324</v>
      </c>
      <c r="C32" s="1">
        <v>612230</v>
      </c>
      <c r="D32" s="1" t="s">
        <v>23</v>
      </c>
      <c r="E32" s="2">
        <v>124118.56000000001</v>
      </c>
      <c r="F32" s="2">
        <v>145503.43</v>
      </c>
      <c r="G32" s="2">
        <v>147185.32</v>
      </c>
      <c r="H32" s="2">
        <v>157638.36000000002</v>
      </c>
      <c r="I32" s="2">
        <v>146967.65000000002</v>
      </c>
      <c r="J32" s="2">
        <v>129046.53000000001</v>
      </c>
      <c r="K32" s="2">
        <v>133723.52000000002</v>
      </c>
      <c r="L32" s="2">
        <v>145713.25</v>
      </c>
      <c r="M32" s="22">
        <v>189265.7</v>
      </c>
      <c r="N32" s="43">
        <v>142618.23000000001</v>
      </c>
      <c r="O32" s="48">
        <f>87196.76+15577.91</f>
        <v>102774.67</v>
      </c>
      <c r="P32" s="42">
        <f>109943.34+7810.84</f>
        <v>117754.18</v>
      </c>
      <c r="Q32" s="42">
        <f>87905.54+6469.99</f>
        <v>94375.53</v>
      </c>
      <c r="R32" s="36">
        <f>94283.51+23620.71</f>
        <v>117904.22</v>
      </c>
      <c r="S32" s="41">
        <f>101791.63+34962.88</f>
        <v>136754.51</v>
      </c>
      <c r="T32" s="41">
        <f>80021.24+50123.11</f>
        <v>130144.35</v>
      </c>
      <c r="U32" s="16">
        <f t="shared" si="5"/>
        <v>-6610.1600000000035</v>
      </c>
      <c r="V32" s="45">
        <f t="shared" si="4"/>
        <v>-4.8335956159690843E-2</v>
      </c>
    </row>
    <row r="33" spans="1:22" x14ac:dyDescent="0.2">
      <c r="A33" s="3">
        <v>601303</v>
      </c>
      <c r="B33" s="3" t="s">
        <v>321</v>
      </c>
      <c r="C33" s="1">
        <v>612235</v>
      </c>
      <c r="D33" s="1" t="s">
        <v>24</v>
      </c>
      <c r="E33" s="2">
        <v>41293.94</v>
      </c>
      <c r="F33" s="2">
        <v>31499.31</v>
      </c>
      <c r="G33" s="2">
        <v>54768.759999999995</v>
      </c>
      <c r="H33" s="2">
        <v>136469.46</v>
      </c>
      <c r="I33" s="2">
        <v>214873.72999999998</v>
      </c>
      <c r="J33" s="2">
        <v>24964.940000000002</v>
      </c>
      <c r="K33" s="2"/>
      <c r="L33" s="2">
        <v>600</v>
      </c>
      <c r="M33" s="22"/>
      <c r="N33" s="43"/>
      <c r="O33" s="48">
        <v>39199.65</v>
      </c>
      <c r="P33" s="42">
        <v>36566.160000000003</v>
      </c>
      <c r="Q33" s="42"/>
      <c r="R33" s="42">
        <f>49475.31</f>
        <v>49475.31</v>
      </c>
      <c r="S33" s="42">
        <f>10142.81</f>
        <v>10142.81</v>
      </c>
      <c r="T33" s="42">
        <f>19234.86</f>
        <v>19234.86</v>
      </c>
      <c r="U33" s="16">
        <f t="shared" si="5"/>
        <v>9092.0500000000011</v>
      </c>
      <c r="V33" s="45">
        <f t="shared" si="4"/>
        <v>0.89640346215693689</v>
      </c>
    </row>
    <row r="34" spans="1:22" x14ac:dyDescent="0.2">
      <c r="A34" s="3">
        <v>601304</v>
      </c>
      <c r="B34" s="3" t="s">
        <v>322</v>
      </c>
      <c r="C34" s="1">
        <v>612300</v>
      </c>
      <c r="D34" s="1" t="s">
        <v>25</v>
      </c>
      <c r="E34" s="2">
        <v>85233.059999999983</v>
      </c>
      <c r="F34" s="2">
        <v>96604.88</v>
      </c>
      <c r="G34" s="2">
        <v>86169.279999999984</v>
      </c>
      <c r="H34" s="2">
        <v>96736.830000000016</v>
      </c>
      <c r="I34" s="2">
        <v>98161.150000000009</v>
      </c>
      <c r="J34" s="2">
        <v>114877.14</v>
      </c>
      <c r="K34" s="2">
        <v>96532.92</v>
      </c>
      <c r="L34" s="2">
        <v>112491.88</v>
      </c>
      <c r="M34" s="22">
        <v>111913.16000000002</v>
      </c>
      <c r="N34" s="43">
        <v>99233.7</v>
      </c>
      <c r="O34" s="48">
        <v>105799.89000000001</v>
      </c>
      <c r="P34" s="42">
        <v>108049.89</v>
      </c>
      <c r="Q34" s="42">
        <v>98619.99</v>
      </c>
      <c r="R34" s="36">
        <v>86715</v>
      </c>
      <c r="S34" s="41">
        <v>77059.98</v>
      </c>
      <c r="T34" s="41">
        <f>53117</f>
        <v>53117</v>
      </c>
      <c r="U34" s="16">
        <f t="shared" si="5"/>
        <v>-23942.979999999996</v>
      </c>
      <c r="V34" s="45">
        <f t="shared" si="4"/>
        <v>-0.31070576452264842</v>
      </c>
    </row>
    <row r="35" spans="1:22" x14ac:dyDescent="0.2">
      <c r="A35" s="3">
        <v>601305</v>
      </c>
      <c r="B35" s="3" t="s">
        <v>323</v>
      </c>
      <c r="C35" s="1">
        <v>612305</v>
      </c>
      <c r="D35" s="1" t="s">
        <v>26</v>
      </c>
      <c r="E35" s="2"/>
      <c r="F35" s="2"/>
      <c r="G35" s="2"/>
      <c r="H35" s="2"/>
      <c r="I35" s="2"/>
      <c r="J35" s="2">
        <v>7500</v>
      </c>
      <c r="K35" s="2">
        <v>14076.880000000001</v>
      </c>
      <c r="L35" s="2">
        <v>48923.01</v>
      </c>
      <c r="M35" s="22"/>
      <c r="N35" s="43"/>
      <c r="O35" s="47"/>
      <c r="P35" s="42"/>
      <c r="Q35" s="42"/>
      <c r="R35" s="42"/>
      <c r="S35" s="42"/>
      <c r="T35" s="42"/>
      <c r="U35" s="16">
        <f t="shared" si="5"/>
        <v>0</v>
      </c>
      <c r="V35" s="45" t="e">
        <f t="shared" si="4"/>
        <v>#DIV/0!</v>
      </c>
    </row>
    <row r="36" spans="1:22" x14ac:dyDescent="0.2">
      <c r="A36" s="3">
        <v>601400</v>
      </c>
      <c r="B36" s="3" t="s">
        <v>325</v>
      </c>
      <c r="C36" s="1">
        <v>612410</v>
      </c>
      <c r="D36" s="1" t="s">
        <v>27</v>
      </c>
      <c r="E36" s="2">
        <v>73492.179999999993</v>
      </c>
      <c r="F36" s="2">
        <v>85997.62999999999</v>
      </c>
      <c r="G36" s="2">
        <v>93669.62000000001</v>
      </c>
      <c r="H36" s="2">
        <v>76442.820000000007</v>
      </c>
      <c r="I36" s="2">
        <v>118978.37</v>
      </c>
      <c r="J36" s="2">
        <v>133560.88</v>
      </c>
      <c r="K36" s="2">
        <v>167019.08000000002</v>
      </c>
      <c r="L36" s="2">
        <v>170682.88</v>
      </c>
      <c r="M36" s="22">
        <v>124047.91000000002</v>
      </c>
      <c r="N36" s="43">
        <v>145323.48000000001</v>
      </c>
      <c r="O36" s="48">
        <f>155336.41+49641.55</f>
        <v>204977.96000000002</v>
      </c>
      <c r="P36" s="42">
        <f>116658.2+56124.94</f>
        <v>172783.14</v>
      </c>
      <c r="Q36" s="42">
        <f>124798.32+47550.86</f>
        <v>172349.18</v>
      </c>
      <c r="R36" s="36">
        <f>146705.39+180352.33</f>
        <v>327057.71999999997</v>
      </c>
      <c r="S36" s="41">
        <f>180489.17+161275.88</f>
        <v>341765.05000000005</v>
      </c>
      <c r="T36" s="41">
        <f>59475.64+46908.41</f>
        <v>106384.05</v>
      </c>
      <c r="U36" s="16">
        <f t="shared" si="5"/>
        <v>-235381.00000000006</v>
      </c>
      <c r="V36" s="45">
        <f t="shared" si="4"/>
        <v>-0.68872168175183512</v>
      </c>
    </row>
    <row r="37" spans="1:22" x14ac:dyDescent="0.2">
      <c r="A37" s="3">
        <v>601401</v>
      </c>
      <c r="B37" s="3" t="s">
        <v>431</v>
      </c>
      <c r="C37" s="1">
        <v>612420</v>
      </c>
      <c r="D37" s="1" t="s">
        <v>28</v>
      </c>
      <c r="E37" s="2">
        <v>1050</v>
      </c>
      <c r="F37" s="2">
        <v>1410</v>
      </c>
      <c r="G37" s="2"/>
      <c r="H37" s="2"/>
      <c r="I37" s="2"/>
      <c r="J37" s="2"/>
      <c r="K37" s="2"/>
      <c r="L37" s="2"/>
      <c r="M37" s="22"/>
      <c r="N37" s="43"/>
      <c r="O37" s="47"/>
      <c r="P37" s="47"/>
      <c r="Q37" s="47"/>
      <c r="R37" s="47"/>
      <c r="S37" s="47"/>
      <c r="T37" s="47"/>
      <c r="U37" s="16">
        <f t="shared" si="5"/>
        <v>0</v>
      </c>
      <c r="V37" s="45" t="e">
        <f t="shared" si="4"/>
        <v>#DIV/0!</v>
      </c>
    </row>
    <row r="38" spans="1:22" x14ac:dyDescent="0.2">
      <c r="A38" s="3">
        <v>601404</v>
      </c>
      <c r="B38" s="3" t="s">
        <v>327</v>
      </c>
      <c r="C38" s="1">
        <v>612510</v>
      </c>
      <c r="D38" s="1" t="s">
        <v>29</v>
      </c>
      <c r="E38" s="2">
        <v>51900.5</v>
      </c>
      <c r="F38" s="2">
        <v>86823.78</v>
      </c>
      <c r="G38" s="2">
        <v>47280.12</v>
      </c>
      <c r="H38" s="2">
        <v>43368.77</v>
      </c>
      <c r="I38" s="2">
        <v>68236.800000000003</v>
      </c>
      <c r="J38" s="2">
        <v>140502.26</v>
      </c>
      <c r="K38" s="2">
        <v>75540.83</v>
      </c>
      <c r="L38" s="2">
        <v>81100.05</v>
      </c>
      <c r="M38" s="22">
        <v>156221.68</v>
      </c>
      <c r="N38" s="43">
        <v>50336.25</v>
      </c>
      <c r="O38" s="48">
        <v>46275.39</v>
      </c>
      <c r="P38" s="48">
        <f>44266.32+259.22</f>
        <v>44525.54</v>
      </c>
      <c r="Q38" s="48">
        <f>56056.04+875.25</f>
        <v>56931.29</v>
      </c>
      <c r="R38" s="48">
        <f>63691.4+2630.24</f>
        <v>66321.64</v>
      </c>
      <c r="S38" s="48">
        <f>112257.75+7829.34</f>
        <v>120087.09</v>
      </c>
      <c r="T38" s="48">
        <f>67003.46+5663.97</f>
        <v>72667.430000000008</v>
      </c>
      <c r="U38" s="16">
        <f t="shared" si="5"/>
        <v>-47419.659999999989</v>
      </c>
      <c r="V38" s="45">
        <f t="shared" si="4"/>
        <v>-0.39487725116829786</v>
      </c>
    </row>
    <row r="39" spans="1:22" x14ac:dyDescent="0.2">
      <c r="A39" s="3">
        <v>601405</v>
      </c>
      <c r="B39" s="3" t="s">
        <v>328</v>
      </c>
      <c r="C39" s="1">
        <v>612520</v>
      </c>
      <c r="D39" s="1" t="s">
        <v>30</v>
      </c>
      <c r="E39" s="2">
        <v>17325.099999999999</v>
      </c>
      <c r="F39" s="2">
        <v>28941.71</v>
      </c>
      <c r="G39" s="2">
        <v>15760.9</v>
      </c>
      <c r="H39" s="2">
        <v>14456.99</v>
      </c>
      <c r="I39" s="2">
        <v>22746.47</v>
      </c>
      <c r="J39" s="2">
        <v>46835.040000000001</v>
      </c>
      <c r="K39" s="2">
        <v>25180.99</v>
      </c>
      <c r="L39" s="2">
        <v>27034.07</v>
      </c>
      <c r="M39" s="22">
        <v>52073.9</v>
      </c>
      <c r="N39" s="43">
        <v>16779.810000000001</v>
      </c>
      <c r="O39" s="48">
        <v>15425.55</v>
      </c>
      <c r="P39" s="48">
        <f>14755.96+86.41</f>
        <v>14842.369999999999</v>
      </c>
      <c r="Q39" s="48">
        <f>18685.75+291.72</f>
        <v>18977.47</v>
      </c>
      <c r="R39" s="48">
        <f>21231.49+876.8</f>
        <v>22108.29</v>
      </c>
      <c r="S39" s="48">
        <f>37420.19+2609.84</f>
        <v>40030.03</v>
      </c>
      <c r="T39" s="48"/>
      <c r="U39" s="16">
        <f t="shared" si="5"/>
        <v>-40030.03</v>
      </c>
      <c r="V39" s="45">
        <f t="shared" si="4"/>
        <v>-1</v>
      </c>
    </row>
    <row r="40" spans="1:22" x14ac:dyDescent="0.2">
      <c r="A40" s="3">
        <v>601406</v>
      </c>
      <c r="B40" s="3" t="s">
        <v>329</v>
      </c>
      <c r="C40" s="1">
        <v>612550</v>
      </c>
      <c r="D40" s="1" t="s">
        <v>310</v>
      </c>
      <c r="E40" s="2"/>
      <c r="F40" s="2"/>
      <c r="G40" s="2"/>
      <c r="H40" s="2"/>
      <c r="I40" s="2"/>
      <c r="J40" s="2"/>
      <c r="K40" s="2"/>
      <c r="L40" s="2"/>
      <c r="M40" s="22"/>
      <c r="N40" s="43"/>
      <c r="O40" s="48"/>
      <c r="P40" s="48">
        <v>18838.71</v>
      </c>
      <c r="Q40" s="48"/>
      <c r="R40" s="48"/>
      <c r="S40" s="48"/>
      <c r="T40" s="48"/>
      <c r="U40" s="16">
        <f t="shared" si="5"/>
        <v>0</v>
      </c>
      <c r="V40" s="45" t="e">
        <f t="shared" si="4"/>
        <v>#DIV/0!</v>
      </c>
    </row>
    <row r="41" spans="1:22" x14ac:dyDescent="0.2">
      <c r="A41" s="3">
        <v>601402</v>
      </c>
      <c r="B41" s="3" t="s">
        <v>326</v>
      </c>
      <c r="C41" s="1">
        <v>612600</v>
      </c>
      <c r="D41" s="1" t="s">
        <v>31</v>
      </c>
      <c r="E41" s="2"/>
      <c r="F41" s="2"/>
      <c r="G41" s="2">
        <v>2581.5</v>
      </c>
      <c r="H41" s="2"/>
      <c r="I41" s="2">
        <v>10545.45</v>
      </c>
      <c r="J41" s="2">
        <v>11210.85</v>
      </c>
      <c r="K41" s="2"/>
      <c r="L41" s="2"/>
      <c r="M41" s="22"/>
      <c r="N41" s="43"/>
      <c r="O41" s="22"/>
      <c r="P41" s="22"/>
      <c r="Q41" s="22"/>
      <c r="R41" s="22"/>
      <c r="S41" s="41">
        <v>22834.78</v>
      </c>
      <c r="T41" s="41">
        <f>4066.26</f>
        <v>4066.26</v>
      </c>
      <c r="U41" s="16">
        <f t="shared" si="5"/>
        <v>-18768.519999999997</v>
      </c>
      <c r="V41" s="45">
        <f t="shared" si="4"/>
        <v>-0.82192690273346181</v>
      </c>
    </row>
    <row r="42" spans="1:22" x14ac:dyDescent="0.2">
      <c r="A42" s="3">
        <v>601501</v>
      </c>
      <c r="B42" s="3" t="s">
        <v>32</v>
      </c>
      <c r="C42" s="1">
        <v>613100</v>
      </c>
      <c r="D42" s="1" t="s">
        <v>32</v>
      </c>
      <c r="E42" s="2">
        <v>1503.65</v>
      </c>
      <c r="F42" s="2">
        <v>3475.51</v>
      </c>
      <c r="G42" s="2">
        <v>3731.44</v>
      </c>
      <c r="H42" s="2">
        <v>2986.3</v>
      </c>
      <c r="I42" s="2">
        <v>5221.0600000000004</v>
      </c>
      <c r="J42" s="2">
        <v>1162.77</v>
      </c>
      <c r="K42" s="2">
        <v>1512.25</v>
      </c>
      <c r="L42" s="2"/>
      <c r="M42" s="22">
        <v>20287</v>
      </c>
      <c r="N42" s="43">
        <v>10378.57</v>
      </c>
      <c r="O42" s="48">
        <f>4118.2+236566.84</f>
        <v>240685.04</v>
      </c>
      <c r="P42" s="48">
        <f>1234.71+238504.13</f>
        <v>239738.84</v>
      </c>
      <c r="Q42" s="42">
        <f>364.51+205211.38</f>
        <v>205575.89</v>
      </c>
      <c r="R42" s="36">
        <f>1592.03+520146.05</f>
        <v>521738.08</v>
      </c>
      <c r="S42" s="41">
        <f>316.74+275285.46</f>
        <v>275602.2</v>
      </c>
      <c r="T42" s="41">
        <f>2053.17+248549.92</f>
        <v>250603.09000000003</v>
      </c>
      <c r="U42" s="16">
        <f t="shared" si="5"/>
        <v>-24999.109999999986</v>
      </c>
      <c r="V42" s="45">
        <f t="shared" si="4"/>
        <v>-9.0707222221012698E-2</v>
      </c>
    </row>
    <row r="43" spans="1:22" x14ac:dyDescent="0.2">
      <c r="A43" s="3">
        <v>601503</v>
      </c>
      <c r="B43" s="3" t="s">
        <v>33</v>
      </c>
      <c r="C43" s="1">
        <v>613210</v>
      </c>
      <c r="D43" s="1" t="s">
        <v>33</v>
      </c>
      <c r="E43" s="2">
        <v>-770.93000000000006</v>
      </c>
      <c r="F43" s="2">
        <v>-3564.1400000000003</v>
      </c>
      <c r="G43" s="2">
        <v>-69.400000000000006</v>
      </c>
      <c r="H43" s="2"/>
      <c r="I43" s="2"/>
      <c r="J43" s="2"/>
      <c r="K43" s="2"/>
      <c r="L43" s="2"/>
      <c r="M43" s="22"/>
      <c r="N43" s="43"/>
      <c r="O43" s="22">
        <f>20752.59</f>
        <v>20752.59</v>
      </c>
      <c r="P43" s="22">
        <f>19929.22</f>
        <v>19929.22</v>
      </c>
      <c r="Q43" s="22">
        <f>18510.34</f>
        <v>18510.34</v>
      </c>
      <c r="R43" s="67">
        <v>63431.75</v>
      </c>
      <c r="S43" s="41">
        <f>4.5+59585.62</f>
        <v>59590.12</v>
      </c>
      <c r="T43" s="41">
        <f>57518.59</f>
        <v>57518.59</v>
      </c>
      <c r="U43" s="16">
        <f t="shared" si="5"/>
        <v>-2071.5300000000061</v>
      </c>
      <c r="V43" s="45">
        <f t="shared" si="4"/>
        <v>-3.4762977486872085E-2</v>
      </c>
    </row>
    <row r="44" spans="1:22" x14ac:dyDescent="0.2">
      <c r="A44" s="3">
        <v>601504</v>
      </c>
      <c r="B44" s="3" t="s">
        <v>332</v>
      </c>
      <c r="C44" s="57">
        <v>613215</v>
      </c>
      <c r="D44" s="57" t="s">
        <v>275</v>
      </c>
      <c r="E44" s="2"/>
      <c r="F44" s="2"/>
      <c r="G44" s="2"/>
      <c r="H44" s="2"/>
      <c r="I44" s="2"/>
      <c r="J44" s="2"/>
      <c r="K44" s="2"/>
      <c r="L44" s="2"/>
      <c r="M44" s="22"/>
      <c r="N44" s="43"/>
      <c r="O44" s="22">
        <f>1208.37</f>
        <v>1208.3699999999999</v>
      </c>
      <c r="P44" s="22">
        <f>1876.14</f>
        <v>1876.14</v>
      </c>
      <c r="Q44" s="22">
        <f>1794.57</f>
        <v>1794.57</v>
      </c>
      <c r="R44" s="67">
        <v>2685.98</v>
      </c>
      <c r="S44" s="67">
        <f>1659.8</f>
        <v>1659.8</v>
      </c>
      <c r="T44" s="67">
        <f>1048.28</f>
        <v>1048.28</v>
      </c>
      <c r="U44" s="16">
        <f t="shared" si="5"/>
        <v>-611.52</v>
      </c>
      <c r="V44" s="45">
        <f t="shared" si="4"/>
        <v>-0.36842993131702617</v>
      </c>
    </row>
    <row r="45" spans="1:22" x14ac:dyDescent="0.2">
      <c r="A45" s="3">
        <v>601502</v>
      </c>
      <c r="B45" s="3" t="s">
        <v>331</v>
      </c>
      <c r="C45" s="1">
        <v>613220</v>
      </c>
      <c r="D45" s="1" t="s">
        <v>34</v>
      </c>
      <c r="E45" s="2">
        <v>35729.11</v>
      </c>
      <c r="F45" s="2">
        <v>1.0000000000218279E-2</v>
      </c>
      <c r="G45" s="2"/>
      <c r="H45" s="2"/>
      <c r="I45" s="2"/>
      <c r="J45" s="2"/>
      <c r="K45" s="2"/>
      <c r="L45" s="2"/>
      <c r="M45" s="22"/>
      <c r="N45" s="43"/>
      <c r="O45" s="22">
        <f>8130.33</f>
        <v>8130.33</v>
      </c>
      <c r="P45" s="22">
        <f>7992.85</f>
        <v>7992.85</v>
      </c>
      <c r="Q45" s="22">
        <f>7532.74</f>
        <v>7532.74</v>
      </c>
      <c r="R45" s="67">
        <v>29847.37</v>
      </c>
      <c r="S45" s="67">
        <f>30902.35</f>
        <v>30902.35</v>
      </c>
      <c r="T45" s="67">
        <f>30630.12</f>
        <v>30630.12</v>
      </c>
      <c r="U45" s="16">
        <f t="shared" si="5"/>
        <v>-272.22999999999956</v>
      </c>
      <c r="V45" s="45">
        <f t="shared" si="4"/>
        <v>-8.8093623947693156E-3</v>
      </c>
    </row>
    <row r="46" spans="1:22" x14ac:dyDescent="0.2">
      <c r="A46" s="3">
        <v>601509</v>
      </c>
      <c r="B46" s="3" t="s">
        <v>35</v>
      </c>
      <c r="C46" s="1">
        <v>613235</v>
      </c>
      <c r="D46" s="1" t="s">
        <v>35</v>
      </c>
      <c r="E46" s="2">
        <v>7032.74</v>
      </c>
      <c r="F46" s="2">
        <v>3200</v>
      </c>
      <c r="G46" s="2"/>
      <c r="H46" s="2">
        <v>10127.11</v>
      </c>
      <c r="I46" s="2"/>
      <c r="J46" s="2">
        <v>1500</v>
      </c>
      <c r="K46" s="2"/>
      <c r="L46" s="2">
        <v>15733.92</v>
      </c>
      <c r="M46" s="22">
        <v>16325.3</v>
      </c>
      <c r="N46" s="43">
        <v>11383.86</v>
      </c>
      <c r="O46" s="48">
        <v>1600</v>
      </c>
      <c r="P46" s="42">
        <v>3000</v>
      </c>
      <c r="Q46" s="42">
        <v>2925.86</v>
      </c>
      <c r="R46" s="36">
        <v>22516.54</v>
      </c>
      <c r="S46" s="41">
        <f>172.45+622.64</f>
        <v>795.08999999999992</v>
      </c>
      <c r="T46" s="41">
        <f>312.62+5952.05</f>
        <v>6264.67</v>
      </c>
      <c r="U46" s="16">
        <f t="shared" si="5"/>
        <v>5469.58</v>
      </c>
      <c r="V46" s="45">
        <f t="shared" si="4"/>
        <v>6.8791960658541811</v>
      </c>
    </row>
    <row r="47" spans="1:22" x14ac:dyDescent="0.2">
      <c r="A47" s="3">
        <v>601513</v>
      </c>
      <c r="B47" s="3" t="s">
        <v>432</v>
      </c>
      <c r="C47" s="1">
        <v>613400</v>
      </c>
      <c r="D47" s="1" t="s">
        <v>36</v>
      </c>
      <c r="E47" s="2">
        <v>116304.47</v>
      </c>
      <c r="F47" s="2">
        <v>130612.37000000001</v>
      </c>
      <c r="G47" s="2">
        <v>108316.18000000001</v>
      </c>
      <c r="H47" s="2">
        <v>-86365.81</v>
      </c>
      <c r="I47" s="2">
        <v>142724.07</v>
      </c>
      <c r="J47" s="2">
        <v>108499.18000000001</v>
      </c>
      <c r="K47" s="2">
        <v>365988.74</v>
      </c>
      <c r="L47" s="2">
        <v>-44073.020000000004</v>
      </c>
      <c r="M47" s="22">
        <v>176910.67</v>
      </c>
      <c r="N47" s="43">
        <v>3530609.82</v>
      </c>
      <c r="O47" s="48">
        <f>641130.18+(-3211.96)</f>
        <v>637918.22000000009</v>
      </c>
      <c r="P47" s="42">
        <f>293430.91+(-10587.13)</f>
        <v>282843.77999999997</v>
      </c>
      <c r="Q47" s="42">
        <f>-251470.22+(-23780.94)</f>
        <v>-275251.15999999997</v>
      </c>
      <c r="R47" s="36">
        <f>-62867.56+67290.44</f>
        <v>4422.8800000000047</v>
      </c>
      <c r="S47" s="41">
        <f>359166.25+(-23465.21)</f>
        <v>335701.04</v>
      </c>
      <c r="T47" s="41">
        <f>19119.63+59425.43</f>
        <v>78545.06</v>
      </c>
      <c r="U47" s="16">
        <f t="shared" si="5"/>
        <v>-257155.97999999998</v>
      </c>
      <c r="V47" s="45">
        <f t="shared" si="4"/>
        <v>-0.76602676000050518</v>
      </c>
    </row>
    <row r="48" spans="1:22" x14ac:dyDescent="0.2">
      <c r="A48" s="3">
        <v>601508</v>
      </c>
      <c r="B48" s="3" t="s">
        <v>307</v>
      </c>
      <c r="C48" s="1">
        <v>613410</v>
      </c>
      <c r="D48" s="1" t="s">
        <v>37</v>
      </c>
      <c r="E48" s="2"/>
      <c r="F48" s="2"/>
      <c r="G48" s="2"/>
      <c r="H48" s="2">
        <v>861620.66</v>
      </c>
      <c r="I48" s="2"/>
      <c r="J48" s="2"/>
      <c r="K48" s="2"/>
      <c r="L48" s="2"/>
      <c r="M48" s="22"/>
      <c r="N48" s="43"/>
      <c r="O48" s="22"/>
      <c r="P48" s="22"/>
      <c r="Q48" s="22"/>
      <c r="R48" s="22"/>
      <c r="S48" s="22"/>
      <c r="T48" s="22"/>
      <c r="U48" s="16">
        <f t="shared" si="5"/>
        <v>0</v>
      </c>
      <c r="V48" s="45" t="e">
        <f t="shared" si="4"/>
        <v>#DIV/0!</v>
      </c>
    </row>
    <row r="49" spans="1:22" x14ac:dyDescent="0.2">
      <c r="A49" s="3">
        <v>601500</v>
      </c>
      <c r="B49" s="3" t="s">
        <v>330</v>
      </c>
      <c r="C49" s="1">
        <v>621100</v>
      </c>
      <c r="D49" s="1" t="s">
        <v>38</v>
      </c>
      <c r="E49" s="2">
        <v>237524.11</v>
      </c>
      <c r="F49" s="2">
        <v>269341.65999999997</v>
      </c>
      <c r="G49" s="2">
        <v>241685.63000000006</v>
      </c>
      <c r="H49" s="2">
        <v>302564.44000000006</v>
      </c>
      <c r="I49" s="2">
        <v>104695.98000000001</v>
      </c>
      <c r="J49" s="2">
        <v>146345.12</v>
      </c>
      <c r="K49" s="2">
        <v>115711.37</v>
      </c>
      <c r="L49" s="2">
        <v>241054.91999999995</v>
      </c>
      <c r="M49" s="22">
        <v>389147.56</v>
      </c>
      <c r="N49" s="43">
        <v>421302.83</v>
      </c>
      <c r="O49" s="48">
        <f>479120.99+16614.7</f>
        <v>495735.69</v>
      </c>
      <c r="P49" s="42">
        <f>451161.61+15996.75</f>
        <v>467158.36</v>
      </c>
      <c r="Q49" s="42">
        <f>448180.86+16863.2</f>
        <v>465044.06</v>
      </c>
      <c r="R49" s="36">
        <f>1045214.91+49929.36</f>
        <v>1095144.27</v>
      </c>
      <c r="S49" s="41">
        <f>1090461.65+52548.83</f>
        <v>1143010.48</v>
      </c>
      <c r="T49" s="41">
        <f>1120834.25+46725.81</f>
        <v>1167560.06</v>
      </c>
      <c r="U49" s="16">
        <f t="shared" si="5"/>
        <v>24549.580000000075</v>
      </c>
      <c r="V49" s="45">
        <f t="shared" si="4"/>
        <v>2.147800079663318E-2</v>
      </c>
    </row>
    <row r="50" spans="1:22" x14ac:dyDescent="0.2">
      <c r="A50" s="3">
        <v>601500</v>
      </c>
      <c r="B50" s="3" t="s">
        <v>330</v>
      </c>
      <c r="C50" s="1">
        <v>621110</v>
      </c>
      <c r="D50" s="1" t="s">
        <v>39</v>
      </c>
      <c r="E50" s="2">
        <v>48600.310000000012</v>
      </c>
      <c r="F50" s="2">
        <v>45592.67</v>
      </c>
      <c r="G50" s="2">
        <v>34106.549999999996</v>
      </c>
      <c r="H50" s="2">
        <v>24401.34</v>
      </c>
      <c r="I50" s="2">
        <v>7914.84</v>
      </c>
      <c r="J50" s="2">
        <v>14617.21</v>
      </c>
      <c r="K50" s="2">
        <v>12553.23</v>
      </c>
      <c r="L50" s="2">
        <v>14491.460000000001</v>
      </c>
      <c r="M50" s="22">
        <v>15143.72</v>
      </c>
      <c r="N50" s="43">
        <v>15597.94</v>
      </c>
      <c r="O50" s="48">
        <v>17649.530000000002</v>
      </c>
      <c r="P50" s="42">
        <v>17418.88</v>
      </c>
      <c r="Q50" s="42">
        <v>17418.88</v>
      </c>
      <c r="R50" s="42"/>
      <c r="S50" s="42"/>
      <c r="T50" s="42"/>
      <c r="U50" s="16">
        <f t="shared" si="5"/>
        <v>0</v>
      </c>
      <c r="V50" s="45" t="e">
        <f t="shared" si="4"/>
        <v>#DIV/0!</v>
      </c>
    </row>
    <row r="51" spans="1:22" x14ac:dyDescent="0.2">
      <c r="A51" s="3">
        <v>601500</v>
      </c>
      <c r="B51" s="3" t="s">
        <v>330</v>
      </c>
      <c r="C51" s="1">
        <v>621120</v>
      </c>
      <c r="D51" s="1" t="s">
        <v>40</v>
      </c>
      <c r="E51" s="2">
        <v>1261.3</v>
      </c>
      <c r="F51" s="2">
        <v>1313.79</v>
      </c>
      <c r="G51" s="2">
        <v>1349.56</v>
      </c>
      <c r="H51" s="2">
        <v>4063.39</v>
      </c>
      <c r="I51" s="2">
        <v>-935.25</v>
      </c>
      <c r="J51" s="2">
        <v>494.36</v>
      </c>
      <c r="K51" s="2">
        <v>1349.22</v>
      </c>
      <c r="L51" s="2">
        <v>1334.05</v>
      </c>
      <c r="M51" s="22">
        <v>2801.38</v>
      </c>
      <c r="N51" s="42">
        <v>2376.23</v>
      </c>
      <c r="O51" s="48">
        <v>6301.8700000000008</v>
      </c>
      <c r="P51" s="42">
        <v>4440.54</v>
      </c>
      <c r="Q51" s="42">
        <v>4373.2700000000004</v>
      </c>
      <c r="R51" s="42"/>
      <c r="S51" s="42"/>
      <c r="T51" s="42"/>
      <c r="U51" s="16">
        <f t="shared" si="5"/>
        <v>0</v>
      </c>
      <c r="V51" s="45" t="e">
        <f t="shared" si="4"/>
        <v>#DIV/0!</v>
      </c>
    </row>
    <row r="52" spans="1:22" x14ac:dyDescent="0.2">
      <c r="A52" s="3">
        <v>601500</v>
      </c>
      <c r="B52" s="3" t="s">
        <v>330</v>
      </c>
      <c r="C52" s="1">
        <v>621130</v>
      </c>
      <c r="D52" s="1" t="s">
        <v>41</v>
      </c>
      <c r="E52" s="2">
        <v>42738.390000000007</v>
      </c>
      <c r="F52" s="2">
        <v>47767.240000000005</v>
      </c>
      <c r="G52" s="2">
        <v>43193.49</v>
      </c>
      <c r="H52" s="2">
        <v>45266.81</v>
      </c>
      <c r="I52" s="2">
        <v>40643.259999999995</v>
      </c>
      <c r="J52" s="2">
        <v>57500.34</v>
      </c>
      <c r="K52" s="2">
        <v>21543.279999999999</v>
      </c>
      <c r="L52" s="2">
        <v>25163.75</v>
      </c>
      <c r="M52" s="22">
        <v>13847.32</v>
      </c>
      <c r="N52" s="43">
        <v>12056.74</v>
      </c>
      <c r="O52" s="48">
        <v>12852.800000000001</v>
      </c>
      <c r="P52" s="42">
        <v>12668.28</v>
      </c>
      <c r="Q52" s="42">
        <v>2655.59</v>
      </c>
      <c r="R52" s="42"/>
      <c r="S52" s="42"/>
      <c r="T52" s="42"/>
      <c r="U52" s="16">
        <f t="shared" si="5"/>
        <v>0</v>
      </c>
      <c r="V52" s="45" t="e">
        <f t="shared" si="4"/>
        <v>#DIV/0!</v>
      </c>
    </row>
    <row r="53" spans="1:22" x14ac:dyDescent="0.2">
      <c r="A53" s="3">
        <v>601500</v>
      </c>
      <c r="B53" s="3" t="s">
        <v>330</v>
      </c>
      <c r="C53" s="1">
        <v>621140</v>
      </c>
      <c r="D53" s="1" t="s">
        <v>42</v>
      </c>
      <c r="E53" s="2">
        <v>192336.03000000003</v>
      </c>
      <c r="F53" s="2">
        <v>215952.14999999994</v>
      </c>
      <c r="G53" s="2">
        <v>294403.62</v>
      </c>
      <c r="H53" s="2">
        <v>332479.25</v>
      </c>
      <c r="I53" s="2">
        <v>389336.18000000005</v>
      </c>
      <c r="J53" s="2">
        <v>446563.44</v>
      </c>
      <c r="K53" s="2">
        <v>398816.64999999985</v>
      </c>
      <c r="L53" s="2">
        <v>379907.49000000005</v>
      </c>
      <c r="M53" s="22">
        <v>466803.25999999995</v>
      </c>
      <c r="N53" s="43">
        <v>418209.50000000006</v>
      </c>
      <c r="O53" s="48">
        <f>434146.3+15214.91</f>
        <v>449361.20999999996</v>
      </c>
      <c r="P53" s="42">
        <f>486697.22+11498.21</f>
        <v>498195.43</v>
      </c>
      <c r="Q53" s="42">
        <f>551151.6+13712.39</f>
        <v>564863.99</v>
      </c>
      <c r="R53" s="42"/>
      <c r="S53" s="42"/>
      <c r="T53" s="42"/>
      <c r="U53" s="16">
        <f t="shared" si="5"/>
        <v>0</v>
      </c>
      <c r="V53" s="45" t="e">
        <f t="shared" si="4"/>
        <v>#DIV/0!</v>
      </c>
    </row>
    <row r="54" spans="1:22" x14ac:dyDescent="0.2">
      <c r="A54" s="3">
        <v>601500</v>
      </c>
      <c r="B54" s="3" t="s">
        <v>330</v>
      </c>
      <c r="C54" s="1">
        <v>621150</v>
      </c>
      <c r="D54" s="1" t="s">
        <v>43</v>
      </c>
      <c r="E54" s="2">
        <v>46798.770000000004</v>
      </c>
      <c r="F54" s="2">
        <v>51852.44000000001</v>
      </c>
      <c r="G54" s="2">
        <v>65010.05</v>
      </c>
      <c r="H54" s="2">
        <v>58389.829999999994</v>
      </c>
      <c r="I54" s="2">
        <v>71787.95</v>
      </c>
      <c r="J54" s="2">
        <v>72205.540000000008</v>
      </c>
      <c r="K54" s="2">
        <v>71151.330000000016</v>
      </c>
      <c r="L54" s="2">
        <v>46608.36</v>
      </c>
      <c r="M54" s="22">
        <v>41078.92</v>
      </c>
      <c r="N54" s="46">
        <v>55970.64</v>
      </c>
      <c r="O54" s="48">
        <v>60361.74</v>
      </c>
      <c r="P54" s="42">
        <f>54853.11+2522.15</f>
        <v>57375.26</v>
      </c>
      <c r="Q54" s="42">
        <v>28016.54</v>
      </c>
      <c r="R54" s="42"/>
      <c r="S54" s="42"/>
      <c r="T54" s="42"/>
      <c r="U54" s="16">
        <f t="shared" si="5"/>
        <v>0</v>
      </c>
      <c r="V54" s="45" t="e">
        <f t="shared" si="4"/>
        <v>#DIV/0!</v>
      </c>
    </row>
    <row r="55" spans="1:22" x14ac:dyDescent="0.2">
      <c r="A55" s="3">
        <v>601505</v>
      </c>
      <c r="B55" s="3" t="s">
        <v>333</v>
      </c>
      <c r="C55" s="1">
        <v>622100</v>
      </c>
      <c r="D55" s="1" t="s">
        <v>44</v>
      </c>
      <c r="E55" s="2"/>
      <c r="F55" s="2">
        <v>3176.68</v>
      </c>
      <c r="G55" s="2">
        <v>12719.859999999999</v>
      </c>
      <c r="H55" s="2">
        <v>370.53000000000003</v>
      </c>
      <c r="I55" s="2">
        <v>1069.1300000000001</v>
      </c>
      <c r="J55" s="2">
        <v>11319.41</v>
      </c>
      <c r="K55" s="2">
        <v>6259.68</v>
      </c>
      <c r="L55" s="2">
        <v>3219.3</v>
      </c>
      <c r="M55" s="22">
        <v>49217.990000000005</v>
      </c>
      <c r="N55" s="43">
        <v>14028.27</v>
      </c>
      <c r="O55" s="48">
        <f>32959.72+29180.06</f>
        <v>62139.78</v>
      </c>
      <c r="P55" s="42">
        <f>5530.26+14302.68</f>
        <v>19832.940000000002</v>
      </c>
      <c r="Q55" s="42">
        <f>15256.48+11263</f>
        <v>26519.48</v>
      </c>
      <c r="R55" s="36">
        <f>36781.39+49715.24</f>
        <v>86496.63</v>
      </c>
      <c r="S55" s="41">
        <f>1846.73+115015.97</f>
        <v>116862.7</v>
      </c>
      <c r="T55" s="41">
        <f>150053.68+63791.5</f>
        <v>213845.18</v>
      </c>
      <c r="U55" s="16">
        <f t="shared" si="5"/>
        <v>96982.48</v>
      </c>
      <c r="V55" s="45">
        <f t="shared" si="4"/>
        <v>0.82988395784112468</v>
      </c>
    </row>
    <row r="56" spans="1:22" x14ac:dyDescent="0.2">
      <c r="A56" s="3">
        <v>601505</v>
      </c>
      <c r="B56" s="3" t="s">
        <v>333</v>
      </c>
      <c r="C56" s="1">
        <v>622140</v>
      </c>
      <c r="D56" s="1" t="s">
        <v>45</v>
      </c>
      <c r="E56" s="2">
        <v>656.17</v>
      </c>
      <c r="F56" s="2">
        <v>-656.17</v>
      </c>
      <c r="G56" s="2"/>
      <c r="H56" s="2">
        <v>19407.84</v>
      </c>
      <c r="I56" s="2"/>
      <c r="J56" s="2">
        <v>31558.09</v>
      </c>
      <c r="K56" s="2"/>
      <c r="L56" s="2">
        <v>2813.2200000000003</v>
      </c>
      <c r="M56" s="22"/>
      <c r="N56" s="42">
        <v>962.02</v>
      </c>
      <c r="O56" s="47"/>
      <c r="P56" s="47"/>
      <c r="Q56" s="42">
        <f>27842.26</f>
        <v>27842.26</v>
      </c>
      <c r="R56" s="42"/>
      <c r="S56" s="42"/>
      <c r="T56" s="42"/>
      <c r="U56" s="16">
        <f t="shared" si="5"/>
        <v>0</v>
      </c>
      <c r="V56" s="45" t="e">
        <f t="shared" si="4"/>
        <v>#DIV/0!</v>
      </c>
    </row>
    <row r="57" spans="1:22" x14ac:dyDescent="0.2">
      <c r="A57" s="3">
        <v>601506</v>
      </c>
      <c r="B57" s="3" t="s">
        <v>334</v>
      </c>
      <c r="C57" s="1">
        <v>623100</v>
      </c>
      <c r="D57" s="1" t="s">
        <v>46</v>
      </c>
      <c r="E57" s="2">
        <v>32521.439999999999</v>
      </c>
      <c r="F57" s="2">
        <v>83272.149999999994</v>
      </c>
      <c r="G57" s="2">
        <v>91071.69</v>
      </c>
      <c r="H57" s="2">
        <v>36327.040000000001</v>
      </c>
      <c r="I57" s="2">
        <v>34131.360000000001</v>
      </c>
      <c r="J57" s="2">
        <v>45559.799999999996</v>
      </c>
      <c r="K57" s="2">
        <v>78159.06</v>
      </c>
      <c r="L57" s="2">
        <v>61321.58</v>
      </c>
      <c r="M57" s="22">
        <v>172246.64</v>
      </c>
      <c r="N57" s="43">
        <v>191271.62</v>
      </c>
      <c r="O57" s="48">
        <f>233877.22+11033.6</f>
        <v>244910.82</v>
      </c>
      <c r="P57" s="42">
        <f>212222.65+3315.28</f>
        <v>215537.93</v>
      </c>
      <c r="Q57" s="42">
        <f>438537.71+3789.84</f>
        <v>442327.55000000005</v>
      </c>
      <c r="R57" s="36">
        <f>211237.53+13238.4</f>
        <v>224475.93</v>
      </c>
      <c r="S57" s="41">
        <f>299311.31+37323.88</f>
        <v>336635.19</v>
      </c>
      <c r="T57" s="41">
        <f>703675.05+17468.69</f>
        <v>721143.74</v>
      </c>
      <c r="U57" s="16">
        <f t="shared" si="5"/>
        <v>384508.55</v>
      </c>
      <c r="V57" s="45">
        <f t="shared" si="4"/>
        <v>1.1422113950713233</v>
      </c>
    </row>
    <row r="58" spans="1:22" x14ac:dyDescent="0.2">
      <c r="A58" s="3">
        <v>601506</v>
      </c>
      <c r="B58" s="3" t="s">
        <v>334</v>
      </c>
      <c r="C58" s="1">
        <v>623110</v>
      </c>
      <c r="D58" s="1" t="s">
        <v>47</v>
      </c>
      <c r="E58" s="2"/>
      <c r="F58" s="2"/>
      <c r="G58" s="2">
        <v>1494.83</v>
      </c>
      <c r="H58" s="2"/>
      <c r="I58" s="2">
        <v>7008.4400000000005</v>
      </c>
      <c r="J58" s="2"/>
      <c r="K58" s="2">
        <v>25849.14</v>
      </c>
      <c r="L58" s="2"/>
      <c r="M58" s="22"/>
      <c r="N58" s="43">
        <v>23783.760000000002</v>
      </c>
      <c r="O58" s="22"/>
      <c r="P58" s="22"/>
      <c r="Q58" s="22"/>
      <c r="R58" s="22"/>
      <c r="S58" s="22"/>
      <c r="T58" s="22"/>
      <c r="U58" s="16">
        <f t="shared" si="5"/>
        <v>0</v>
      </c>
      <c r="V58" s="45" t="e">
        <f t="shared" si="4"/>
        <v>#DIV/0!</v>
      </c>
    </row>
    <row r="59" spans="1:22" x14ac:dyDescent="0.2">
      <c r="A59" s="3">
        <v>601506</v>
      </c>
      <c r="B59" s="3" t="s">
        <v>334</v>
      </c>
      <c r="C59" s="1">
        <v>623120</v>
      </c>
      <c r="D59" s="1" t="s">
        <v>48</v>
      </c>
      <c r="E59" s="2">
        <v>46561.22</v>
      </c>
      <c r="F59" s="2">
        <v>34159.5</v>
      </c>
      <c r="G59" s="2">
        <v>78092.19</v>
      </c>
      <c r="H59" s="2">
        <v>8827.49</v>
      </c>
      <c r="I59" s="2"/>
      <c r="J59" s="2"/>
      <c r="K59" s="2"/>
      <c r="L59" s="2"/>
      <c r="M59" s="22"/>
      <c r="N59" s="43"/>
      <c r="O59" s="22"/>
      <c r="P59" s="22"/>
      <c r="Q59" s="22"/>
      <c r="R59" s="22"/>
      <c r="S59" s="22"/>
      <c r="T59" s="22"/>
      <c r="U59" s="16">
        <f t="shared" si="5"/>
        <v>0</v>
      </c>
      <c r="V59" s="45" t="e">
        <f t="shared" si="4"/>
        <v>#DIV/0!</v>
      </c>
    </row>
    <row r="60" spans="1:22" x14ac:dyDescent="0.2">
      <c r="A60" s="3">
        <v>601506</v>
      </c>
      <c r="B60" s="3" t="s">
        <v>334</v>
      </c>
      <c r="C60" s="1">
        <v>623130</v>
      </c>
      <c r="D60" s="58" t="s">
        <v>311</v>
      </c>
      <c r="E60" s="2"/>
      <c r="F60" s="2"/>
      <c r="G60" s="2"/>
      <c r="H60" s="2"/>
      <c r="I60" s="2"/>
      <c r="J60" s="2"/>
      <c r="K60" s="2"/>
      <c r="L60" s="2"/>
      <c r="M60" s="22"/>
      <c r="N60" s="43"/>
      <c r="O60" s="22"/>
      <c r="P60" s="42">
        <v>15182.24</v>
      </c>
      <c r="Q60" s="42"/>
      <c r="R60" s="42"/>
      <c r="S60" s="42"/>
      <c r="T60" s="42"/>
      <c r="U60" s="16">
        <f t="shared" si="5"/>
        <v>0</v>
      </c>
      <c r="V60" s="45" t="e">
        <f t="shared" si="4"/>
        <v>#DIV/0!</v>
      </c>
    </row>
    <row r="61" spans="1:22" x14ac:dyDescent="0.2">
      <c r="A61" s="3">
        <v>601506</v>
      </c>
      <c r="B61" s="3" t="s">
        <v>334</v>
      </c>
      <c r="C61" s="1">
        <v>623140</v>
      </c>
      <c r="D61" s="1" t="s">
        <v>49</v>
      </c>
      <c r="E61" s="2"/>
      <c r="F61" s="2"/>
      <c r="G61" s="2">
        <v>21126.49</v>
      </c>
      <c r="H61" s="2"/>
      <c r="I61" s="2"/>
      <c r="J61" s="2">
        <v>75772.800000000003</v>
      </c>
      <c r="K61" s="2"/>
      <c r="L61" s="2"/>
      <c r="M61" s="22"/>
      <c r="N61" s="43">
        <v>21269.77</v>
      </c>
      <c r="O61" s="22"/>
      <c r="P61" s="22"/>
      <c r="Q61" s="42">
        <v>41337.120000000003</v>
      </c>
      <c r="R61" s="42"/>
      <c r="S61" s="42"/>
      <c r="T61" s="42"/>
      <c r="U61" s="16">
        <f t="shared" si="5"/>
        <v>0</v>
      </c>
      <c r="V61" s="45" t="e">
        <f t="shared" si="4"/>
        <v>#DIV/0!</v>
      </c>
    </row>
    <row r="62" spans="1:22" x14ac:dyDescent="0.2">
      <c r="A62" s="3">
        <v>601506</v>
      </c>
      <c r="B62" s="3" t="s">
        <v>334</v>
      </c>
      <c r="C62" s="1">
        <v>623150</v>
      </c>
      <c r="D62" s="1" t="s">
        <v>50</v>
      </c>
      <c r="E62" s="2">
        <v>18236.010000000002</v>
      </c>
      <c r="F62" s="2">
        <v>18394.5</v>
      </c>
      <c r="G62" s="2">
        <v>9648.77</v>
      </c>
      <c r="H62" s="2">
        <v>2512.2400000000002</v>
      </c>
      <c r="I62" s="2">
        <v>6857.7300000000005</v>
      </c>
      <c r="J62" s="2">
        <v>49937.54</v>
      </c>
      <c r="K62" s="2">
        <v>23042.69</v>
      </c>
      <c r="L62" s="2">
        <v>102124.38</v>
      </c>
      <c r="M62" s="22"/>
      <c r="N62" s="43">
        <v>61974.22</v>
      </c>
      <c r="O62" s="48">
        <v>61712.11</v>
      </c>
      <c r="P62" s="42">
        <v>39591.74</v>
      </c>
      <c r="Q62" s="42">
        <f>90900.38+7765.67</f>
        <v>98666.05</v>
      </c>
      <c r="R62" s="42"/>
      <c r="S62" s="42"/>
      <c r="T62" s="42"/>
      <c r="U62" s="16">
        <f t="shared" si="5"/>
        <v>0</v>
      </c>
      <c r="V62" s="45" t="e">
        <f t="shared" si="4"/>
        <v>#DIV/0!</v>
      </c>
    </row>
    <row r="63" spans="1:22" x14ac:dyDescent="0.2">
      <c r="A63" s="3">
        <v>601506</v>
      </c>
      <c r="B63" s="3" t="s">
        <v>334</v>
      </c>
      <c r="C63" s="1">
        <v>623160</v>
      </c>
      <c r="D63" s="1" t="s">
        <v>51</v>
      </c>
      <c r="E63" s="2"/>
      <c r="F63" s="2"/>
      <c r="G63" s="2">
        <v>45545.32</v>
      </c>
      <c r="H63" s="2"/>
      <c r="I63" s="2"/>
      <c r="J63" s="2"/>
      <c r="K63" s="2">
        <v>23891.56</v>
      </c>
      <c r="L63" s="2"/>
      <c r="M63" s="22"/>
      <c r="N63" s="43"/>
      <c r="O63" s="47"/>
      <c r="P63" s="42">
        <v>33302.199999999997</v>
      </c>
      <c r="Q63" s="42">
        <v>40971.72</v>
      </c>
      <c r="R63" s="42"/>
      <c r="S63" s="42"/>
      <c r="T63" s="42"/>
      <c r="U63" s="16">
        <f t="shared" si="5"/>
        <v>0</v>
      </c>
      <c r="V63" s="45" t="e">
        <f t="shared" si="4"/>
        <v>#DIV/0!</v>
      </c>
    </row>
    <row r="64" spans="1:22" x14ac:dyDescent="0.2">
      <c r="A64" s="3">
        <v>601508</v>
      </c>
      <c r="B64" s="3" t="s">
        <v>307</v>
      </c>
      <c r="C64" s="1">
        <v>624100</v>
      </c>
      <c r="D64" s="1" t="s">
        <v>52</v>
      </c>
      <c r="E64" s="2">
        <v>14245</v>
      </c>
      <c r="F64" s="2">
        <v>16400</v>
      </c>
      <c r="G64" s="2">
        <v>17440</v>
      </c>
      <c r="H64" s="2">
        <v>11738</v>
      </c>
      <c r="I64" s="2">
        <v>2207.25</v>
      </c>
      <c r="J64" s="2">
        <v>11398.5</v>
      </c>
      <c r="K64" s="2">
        <v>270</v>
      </c>
      <c r="L64" s="2">
        <v>135</v>
      </c>
      <c r="M64" s="22">
        <v>135</v>
      </c>
      <c r="N64" s="43">
        <v>135</v>
      </c>
      <c r="O64" s="48">
        <f>249.04+227.39</f>
        <v>476.42999999999995</v>
      </c>
      <c r="P64" s="42">
        <f>270+5466.73</f>
        <v>5736.73</v>
      </c>
      <c r="Q64" s="42">
        <f>81+1471.07</f>
        <v>1552.07</v>
      </c>
      <c r="R64" s="36">
        <f>189+5766.42</f>
        <v>5955.42</v>
      </c>
      <c r="S64" s="41">
        <f>108+5325.39</f>
        <v>5433.39</v>
      </c>
      <c r="T64" s="41">
        <f>27+3385.53</f>
        <v>3412.53</v>
      </c>
      <c r="U64" s="16">
        <f t="shared" si="5"/>
        <v>-2020.8600000000001</v>
      </c>
      <c r="V64" s="45">
        <f t="shared" si="4"/>
        <v>-0.37193354425137898</v>
      </c>
    </row>
    <row r="65" spans="1:22" x14ac:dyDescent="0.2">
      <c r="A65" s="3">
        <v>601508</v>
      </c>
      <c r="B65" s="3" t="s">
        <v>307</v>
      </c>
      <c r="C65" s="1">
        <v>624120</v>
      </c>
      <c r="D65" s="1" t="s">
        <v>53</v>
      </c>
      <c r="E65" s="2">
        <v>1415.71</v>
      </c>
      <c r="F65" s="2">
        <v>-1000</v>
      </c>
      <c r="G65" s="2"/>
      <c r="H65" s="2">
        <v>850</v>
      </c>
      <c r="I65" s="2"/>
      <c r="J65" s="2"/>
      <c r="K65" s="2"/>
      <c r="L65" s="2"/>
      <c r="M65" s="22"/>
      <c r="N65" s="22"/>
      <c r="O65" s="48">
        <v>-2500</v>
      </c>
      <c r="P65" s="42">
        <v>-2500</v>
      </c>
      <c r="Q65" s="42">
        <v>-2500</v>
      </c>
      <c r="R65" s="42"/>
      <c r="S65" s="42"/>
      <c r="T65" s="42"/>
      <c r="U65" s="16">
        <f t="shared" si="5"/>
        <v>0</v>
      </c>
      <c r="V65" s="45" t="e">
        <f t="shared" si="4"/>
        <v>#DIV/0!</v>
      </c>
    </row>
    <row r="66" spans="1:22" x14ac:dyDescent="0.2">
      <c r="A66" s="3">
        <v>601508</v>
      </c>
      <c r="B66" s="3" t="s">
        <v>307</v>
      </c>
      <c r="C66" s="1">
        <v>624125</v>
      </c>
      <c r="D66" s="1" t="s">
        <v>54</v>
      </c>
      <c r="E66" s="2"/>
      <c r="F66" s="2">
        <v>1000</v>
      </c>
      <c r="G66" s="2"/>
      <c r="H66" s="2"/>
      <c r="I66" s="2"/>
      <c r="J66" s="2"/>
      <c r="K66" s="2"/>
      <c r="L66" s="2"/>
      <c r="M66" s="22"/>
      <c r="N66" s="22"/>
      <c r="O66" s="22"/>
      <c r="P66" s="22"/>
      <c r="Q66" s="22"/>
      <c r="R66" s="22"/>
      <c r="S66" s="22"/>
      <c r="T66" s="22"/>
      <c r="U66" s="16">
        <f t="shared" si="5"/>
        <v>0</v>
      </c>
      <c r="V66" s="45" t="e">
        <f t="shared" si="4"/>
        <v>#DIV/0!</v>
      </c>
    </row>
    <row r="67" spans="1:22" x14ac:dyDescent="0.2">
      <c r="A67" s="3">
        <v>601508</v>
      </c>
      <c r="B67" s="3" t="s">
        <v>307</v>
      </c>
      <c r="C67" s="57">
        <v>624150</v>
      </c>
      <c r="D67" s="57" t="s">
        <v>257</v>
      </c>
      <c r="E67" s="2"/>
      <c r="F67" s="2"/>
      <c r="G67" s="2"/>
      <c r="H67" s="2"/>
      <c r="I67" s="2"/>
      <c r="J67" s="2"/>
      <c r="K67" s="2"/>
      <c r="L67" s="2"/>
      <c r="M67" s="22"/>
      <c r="N67" s="22"/>
      <c r="O67" s="22">
        <v>60409</v>
      </c>
      <c r="P67" s="22"/>
      <c r="Q67" s="22"/>
      <c r="R67" s="22"/>
      <c r="S67" s="22"/>
      <c r="T67" s="22"/>
      <c r="U67" s="16">
        <f t="shared" si="5"/>
        <v>0</v>
      </c>
      <c r="V67" s="45" t="e">
        <f t="shared" si="4"/>
        <v>#DIV/0!</v>
      </c>
    </row>
    <row r="68" spans="1:22" x14ac:dyDescent="0.2">
      <c r="C68" s="3" t="s">
        <v>234</v>
      </c>
      <c r="D68" s="3" t="s">
        <v>235</v>
      </c>
      <c r="E68" s="2"/>
      <c r="F68" s="2"/>
      <c r="G68" s="2"/>
      <c r="H68" s="2"/>
      <c r="I68" s="2"/>
      <c r="J68" s="2"/>
      <c r="K68" s="2"/>
      <c r="L68" s="2"/>
      <c r="M68" s="22">
        <v>39440</v>
      </c>
      <c r="N68" s="22">
        <v>5749.6</v>
      </c>
      <c r="O68" s="22">
        <v>2536.8000000000002</v>
      </c>
      <c r="P68" s="22"/>
      <c r="Q68" s="22"/>
      <c r="R68" s="22"/>
      <c r="S68" s="22"/>
      <c r="T68" s="22"/>
      <c r="U68" s="16">
        <f t="shared" si="5"/>
        <v>0</v>
      </c>
      <c r="V68" s="45" t="e">
        <f t="shared" si="4"/>
        <v>#DIV/0!</v>
      </c>
    </row>
    <row r="69" spans="1:22" x14ac:dyDescent="0.2">
      <c r="C69" s="1"/>
      <c r="D69" s="5" t="s">
        <v>230</v>
      </c>
      <c r="E69" s="6">
        <f>SUM(E27:E68)</f>
        <v>5973322.0499999998</v>
      </c>
      <c r="F69" s="6">
        <f t="shared" ref="F69:T69" si="6">SUM(F27:F68)</f>
        <v>6774900.2300000014</v>
      </c>
      <c r="G69" s="6">
        <f t="shared" si="6"/>
        <v>7157353.1799999997</v>
      </c>
      <c r="H69" s="6">
        <f t="shared" si="6"/>
        <v>8368711.2700000033</v>
      </c>
      <c r="I69" s="6">
        <f t="shared" si="6"/>
        <v>8062116.1199999982</v>
      </c>
      <c r="J69" s="6">
        <f t="shared" si="6"/>
        <v>9041624.2599999979</v>
      </c>
      <c r="K69" s="6">
        <f t="shared" si="6"/>
        <v>9280430.1400000006</v>
      </c>
      <c r="L69" s="6">
        <f t="shared" si="6"/>
        <v>11246424.070000008</v>
      </c>
      <c r="M69" s="6">
        <f t="shared" si="6"/>
        <v>11704726.720000003</v>
      </c>
      <c r="N69" s="6">
        <f t="shared" si="6"/>
        <v>15435605.629999997</v>
      </c>
      <c r="O69" s="6">
        <f t="shared" si="6"/>
        <v>13703976.459999997</v>
      </c>
      <c r="P69" s="6">
        <f t="shared" si="6"/>
        <v>13005117.289999995</v>
      </c>
      <c r="Q69" s="6">
        <f t="shared" si="6"/>
        <v>13629435.940000003</v>
      </c>
      <c r="R69" s="6">
        <f t="shared" si="6"/>
        <v>14515719.43</v>
      </c>
      <c r="S69" s="6">
        <f t="shared" si="6"/>
        <v>15178029.019999998</v>
      </c>
      <c r="T69" s="6">
        <f t="shared" si="6"/>
        <v>13361334.689999998</v>
      </c>
      <c r="U69" s="17">
        <f>SUM(U27:U68)</f>
        <v>-1816694.3299999991</v>
      </c>
      <c r="V69" s="45">
        <f t="shared" si="4"/>
        <v>-0.11969237426059418</v>
      </c>
    </row>
    <row r="70" spans="1:22" x14ac:dyDescent="0.2">
      <c r="A70" s="3">
        <v>602400</v>
      </c>
      <c r="B70" s="3" t="s">
        <v>499</v>
      </c>
      <c r="C70" s="1">
        <v>625100</v>
      </c>
      <c r="D70" s="1" t="s">
        <v>55</v>
      </c>
      <c r="E70" s="2">
        <v>288729.41999999987</v>
      </c>
      <c r="F70" s="2">
        <v>287384.86000000004</v>
      </c>
      <c r="G70" s="2">
        <v>355591.18000000005</v>
      </c>
      <c r="H70" s="2">
        <v>389786.43</v>
      </c>
      <c r="I70" s="2">
        <v>420008.72999999981</v>
      </c>
      <c r="J70" s="2">
        <v>467210.05</v>
      </c>
      <c r="K70" s="2">
        <v>525151.56000000006</v>
      </c>
      <c r="L70" s="2">
        <v>486019.96</v>
      </c>
      <c r="M70" s="22">
        <v>466166.00000000012</v>
      </c>
      <c r="N70" s="42">
        <v>551884.07000000007</v>
      </c>
      <c r="O70" s="48">
        <f>359784.47+20714.42</f>
        <v>380498.88999999996</v>
      </c>
      <c r="P70" s="42">
        <f>336884.99+18383.74</f>
        <v>355268.73</v>
      </c>
      <c r="Q70" s="42">
        <f>293653.22+16296.37</f>
        <v>309949.58999999997</v>
      </c>
      <c r="R70" s="36">
        <f>309302.97+30309.42</f>
        <v>339612.38999999996</v>
      </c>
      <c r="S70" s="41">
        <f>342840.49+35240.74</f>
        <v>378081.23</v>
      </c>
      <c r="T70" s="41">
        <f>336839.57+30349.81</f>
        <v>367189.38</v>
      </c>
      <c r="U70" s="16">
        <f t="shared" ref="U70:U83" si="7">T70-S70</f>
        <v>-10891.849999999977</v>
      </c>
      <c r="V70" s="45">
        <f t="shared" si="4"/>
        <v>-2.8808227269044744E-2</v>
      </c>
    </row>
    <row r="71" spans="1:22" x14ac:dyDescent="0.2">
      <c r="A71" s="3">
        <v>602500</v>
      </c>
      <c r="B71" s="3" t="s">
        <v>336</v>
      </c>
      <c r="C71" s="1">
        <v>626100</v>
      </c>
      <c r="D71" s="1" t="s">
        <v>56</v>
      </c>
      <c r="E71" s="2">
        <v>-1196838.4099999999</v>
      </c>
      <c r="F71" s="2">
        <v>10023.85</v>
      </c>
      <c r="G71" s="2">
        <v>4345.93</v>
      </c>
      <c r="H71" s="2">
        <v>5461.66</v>
      </c>
      <c r="I71" s="2">
        <v>-9787.2199999999993</v>
      </c>
      <c r="J71" s="2">
        <v>3508.32</v>
      </c>
      <c r="K71" s="2">
        <v>-2629.12</v>
      </c>
      <c r="L71" s="2">
        <v>26977.61</v>
      </c>
      <c r="M71" s="22">
        <v>67273.649999999994</v>
      </c>
      <c r="N71" s="42">
        <f>2513.46+2225.38</f>
        <v>4738.84</v>
      </c>
      <c r="O71" s="48">
        <f>18847.89+1399.54+85.1</f>
        <v>20332.53</v>
      </c>
      <c r="P71" s="42">
        <f>16148.07+646.32+(-48.44)</f>
        <v>16745.95</v>
      </c>
      <c r="Q71" s="42">
        <f>5579.42+5716.42+49.5+0.01</f>
        <v>11345.35</v>
      </c>
      <c r="R71" s="36">
        <f>21673.61+713.81+7703.91</f>
        <v>30091.33</v>
      </c>
      <c r="S71" s="48">
        <f>15279.82+(-1643.13)+10363.09</f>
        <v>23999.78</v>
      </c>
      <c r="T71" s="48">
        <f>15033.25+2335.76+8035.45</f>
        <v>25404.460000000003</v>
      </c>
      <c r="U71" s="16">
        <f t="shared" si="7"/>
        <v>1404.6800000000039</v>
      </c>
      <c r="V71" s="45">
        <f t="shared" si="4"/>
        <v>5.8528869847973772E-2</v>
      </c>
    </row>
    <row r="72" spans="1:22" x14ac:dyDescent="0.2">
      <c r="A72" s="3">
        <v>602100</v>
      </c>
      <c r="B72" s="3" t="s">
        <v>57</v>
      </c>
      <c r="C72" s="1">
        <v>626110</v>
      </c>
      <c r="D72" s="1" t="s">
        <v>57</v>
      </c>
      <c r="E72" s="2">
        <v>16385.359999999997</v>
      </c>
      <c r="F72" s="2">
        <v>14466.589999999998</v>
      </c>
      <c r="G72" s="2">
        <v>18083.39</v>
      </c>
      <c r="H72" s="2">
        <v>19488.979999999992</v>
      </c>
      <c r="I72" s="2">
        <v>21185.17</v>
      </c>
      <c r="J72" s="2">
        <v>22779.41</v>
      </c>
      <c r="K72" s="2">
        <v>22330.38</v>
      </c>
      <c r="L72" s="2">
        <v>22645.93</v>
      </c>
      <c r="M72" s="22">
        <v>26577.560000000005</v>
      </c>
      <c r="N72" s="42">
        <v>24443.360000000004</v>
      </c>
      <c r="O72" s="48">
        <f>24198.06+2935.1</f>
        <v>27133.16</v>
      </c>
      <c r="P72" s="42">
        <f>25006.1+2791.31</f>
        <v>27797.41</v>
      </c>
      <c r="Q72" s="42">
        <f>23836.4+2578.78</f>
        <v>26415.18</v>
      </c>
      <c r="R72" s="36">
        <f>24503.88+4574.15</f>
        <v>29078.03</v>
      </c>
      <c r="S72" s="41">
        <f>99865.64+6522.97</f>
        <v>106388.61</v>
      </c>
      <c r="T72" s="41">
        <f>-43705.65+6608.03</f>
        <v>-37097.620000000003</v>
      </c>
      <c r="U72" s="16">
        <f t="shared" si="7"/>
        <v>-143486.23000000001</v>
      </c>
      <c r="V72" s="45">
        <f t="shared" si="4"/>
        <v>-1.3486991699581374</v>
      </c>
    </row>
    <row r="73" spans="1:22" x14ac:dyDescent="0.2">
      <c r="A73" s="3">
        <v>602101</v>
      </c>
      <c r="B73" s="3" t="s">
        <v>58</v>
      </c>
      <c r="C73" s="1">
        <v>626120</v>
      </c>
      <c r="D73" s="1" t="s">
        <v>58</v>
      </c>
      <c r="E73" s="2">
        <v>4861989.6900000004</v>
      </c>
      <c r="F73" s="2">
        <v>4596815.5199999996</v>
      </c>
      <c r="G73" s="2">
        <v>4915525.2500000009</v>
      </c>
      <c r="H73" s="2">
        <v>5167843.2899999991</v>
      </c>
      <c r="I73" s="2">
        <v>5282179.91</v>
      </c>
      <c r="J73" s="2">
        <v>5493642.3700000001</v>
      </c>
      <c r="K73" s="2">
        <v>5826344.9000000004</v>
      </c>
      <c r="L73" s="2">
        <v>6026990.8300000001</v>
      </c>
      <c r="M73" s="22">
        <v>6673611.8899999997</v>
      </c>
      <c r="N73" s="42">
        <v>7380168.8800000008</v>
      </c>
      <c r="O73" s="48">
        <f>7582940.66+774197.62</f>
        <v>8357138.2800000003</v>
      </c>
      <c r="P73" s="42">
        <f>8276912.41+780355.05</f>
        <v>9057267.4600000009</v>
      </c>
      <c r="Q73" s="42">
        <f>7698909.24+719269.22</f>
        <v>8418178.4600000009</v>
      </c>
      <c r="R73" s="36">
        <f>8064887.13+1236195.05</f>
        <v>9301082.1799999997</v>
      </c>
      <c r="S73" s="41">
        <f>8499677.27+1478953.57</f>
        <v>9978630.8399999999</v>
      </c>
      <c r="T73" s="41">
        <f>8660190.45+1416684.44</f>
        <v>10076874.889999999</v>
      </c>
      <c r="U73" s="16">
        <f t="shared" si="7"/>
        <v>98244.049999998882</v>
      </c>
      <c r="V73" s="45">
        <f t="shared" si="4"/>
        <v>9.8454438865681979E-3</v>
      </c>
    </row>
    <row r="74" spans="1:22" x14ac:dyDescent="0.2">
      <c r="A74" s="3">
        <v>602200</v>
      </c>
      <c r="B74" s="3" t="s">
        <v>59</v>
      </c>
      <c r="C74" s="1">
        <v>626130</v>
      </c>
      <c r="D74" s="1" t="s">
        <v>59</v>
      </c>
      <c r="E74" s="2">
        <v>102003.08</v>
      </c>
      <c r="F74" s="2">
        <v>40605.31</v>
      </c>
      <c r="G74" s="2">
        <v>36734.740000000005</v>
      </c>
      <c r="H74" s="2">
        <v>54388.74</v>
      </c>
      <c r="I74" s="2">
        <v>110239.2</v>
      </c>
      <c r="J74" s="2">
        <v>73476.490000000005</v>
      </c>
      <c r="K74" s="2">
        <v>92943.55</v>
      </c>
      <c r="L74" s="2">
        <v>113581.08</v>
      </c>
      <c r="M74" s="22">
        <v>60922.699999999983</v>
      </c>
      <c r="N74" s="42">
        <v>75218.99000000002</v>
      </c>
      <c r="O74" s="48">
        <f>59503.15+3572.65</f>
        <v>63075.8</v>
      </c>
      <c r="P74" s="42">
        <f>53425.98+2140.99</f>
        <v>55566.97</v>
      </c>
      <c r="Q74" s="42">
        <f>133628.68+7312.04</f>
        <v>140940.72</v>
      </c>
      <c r="R74" s="36">
        <f>102092.6+11417.7</f>
        <v>113510.3</v>
      </c>
      <c r="S74" s="41">
        <f>969.04+173.93</f>
        <v>1142.97</v>
      </c>
      <c r="T74" s="41">
        <f>25824.2+3191.04</f>
        <v>29015.24</v>
      </c>
      <c r="U74" s="16">
        <f t="shared" si="7"/>
        <v>27872.27</v>
      </c>
      <c r="V74" s="45">
        <f t="shared" si="4"/>
        <v>24.385828149470239</v>
      </c>
    </row>
    <row r="75" spans="1:22" x14ac:dyDescent="0.2">
      <c r="A75" s="3">
        <v>602300</v>
      </c>
      <c r="B75" s="3" t="s">
        <v>60</v>
      </c>
      <c r="C75" s="1">
        <v>626141</v>
      </c>
      <c r="D75" s="1" t="s">
        <v>60</v>
      </c>
      <c r="E75" s="2">
        <v>2162002.9400000004</v>
      </c>
      <c r="F75" s="2">
        <v>2076229.7499999995</v>
      </c>
      <c r="G75" s="2">
        <v>2228053.9700000011</v>
      </c>
      <c r="H75" s="2">
        <v>2371521.3899999992</v>
      </c>
      <c r="I75" s="2">
        <v>2315119.86</v>
      </c>
      <c r="J75" s="2">
        <v>2482959.41</v>
      </c>
      <c r="K75" s="2">
        <v>2525412.35</v>
      </c>
      <c r="L75" s="2">
        <v>2701431.64</v>
      </c>
      <c r="M75" s="22">
        <v>2829645.3500000006</v>
      </c>
      <c r="N75" s="42">
        <v>2976294.8999999994</v>
      </c>
      <c r="O75" s="48">
        <f>3064061.46+182908.21</f>
        <v>3246969.67</v>
      </c>
      <c r="P75" s="42">
        <f>3091061.12+175622.02</f>
        <v>3266683.14</v>
      </c>
      <c r="Q75" s="42">
        <f>3063218.64+170170.44</f>
        <v>3233389.08</v>
      </c>
      <c r="R75" s="36">
        <f>3112741.17+318931.38</f>
        <v>3431672.55</v>
      </c>
      <c r="S75" s="41">
        <f>3192671.26+341258.2</f>
        <v>3533929.46</v>
      </c>
      <c r="T75" s="41">
        <f>3146740.35+336286.35</f>
        <v>3483026.7</v>
      </c>
      <c r="U75" s="16">
        <f t="shared" si="7"/>
        <v>-50902.759999999776</v>
      </c>
      <c r="V75" s="45">
        <f t="shared" si="4"/>
        <v>-1.4404011335302594E-2</v>
      </c>
    </row>
    <row r="76" spans="1:22" x14ac:dyDescent="0.2">
      <c r="A76" s="3">
        <v>602301</v>
      </c>
      <c r="B76" s="3" t="s">
        <v>61</v>
      </c>
      <c r="C76" s="1">
        <v>626142</v>
      </c>
      <c r="D76" s="1" t="s">
        <v>61</v>
      </c>
      <c r="E76" s="2">
        <v>547682.2100000002</v>
      </c>
      <c r="F76" s="2">
        <v>525144.96000000008</v>
      </c>
      <c r="G76" s="2">
        <v>564099.30999999994</v>
      </c>
      <c r="H76" s="2">
        <v>598385.57999999973</v>
      </c>
      <c r="I76" s="2">
        <v>582891.31999999995</v>
      </c>
      <c r="J76" s="2">
        <v>621040.76</v>
      </c>
      <c r="K76" s="2">
        <v>636109.98</v>
      </c>
      <c r="L76" s="2">
        <v>669724.6</v>
      </c>
      <c r="M76" s="22">
        <v>695840.12</v>
      </c>
      <c r="N76" s="42">
        <v>734439.37</v>
      </c>
      <c r="O76" s="48">
        <f>759219.69+43125.03</f>
        <v>802344.72</v>
      </c>
      <c r="P76" s="42">
        <f>769286.81+41347.07</f>
        <v>810633.88</v>
      </c>
      <c r="Q76" s="42">
        <f>752177.62+40066.55</f>
        <v>792244.17</v>
      </c>
      <c r="R76" s="36">
        <f>767040.5+75285.86</f>
        <v>842326.36</v>
      </c>
      <c r="S76" s="41">
        <f>780262.46+80705.96</f>
        <v>860968.41999999993</v>
      </c>
      <c r="T76" s="41">
        <f>775236.81+78883.95</f>
        <v>854120.76</v>
      </c>
      <c r="U76" s="16">
        <f t="shared" si="7"/>
        <v>-6847.6599999999162</v>
      </c>
      <c r="V76" s="45">
        <f t="shared" si="4"/>
        <v>-7.9534392213827278E-3</v>
      </c>
    </row>
    <row r="77" spans="1:22" x14ac:dyDescent="0.2">
      <c r="A77" s="3">
        <v>602001</v>
      </c>
      <c r="B77" s="3" t="s">
        <v>62</v>
      </c>
      <c r="C77" s="1">
        <v>626171</v>
      </c>
      <c r="D77" s="1" t="s">
        <v>62</v>
      </c>
      <c r="E77" s="2">
        <v>3074186.370000001</v>
      </c>
      <c r="F77" s="2">
        <v>2815691.5700000008</v>
      </c>
      <c r="G77" s="2">
        <v>2742684.0300000007</v>
      </c>
      <c r="H77" s="2">
        <v>3058058.9600000004</v>
      </c>
      <c r="I77" s="2">
        <v>2803856.1799999997</v>
      </c>
      <c r="J77" s="2">
        <v>3127867.64</v>
      </c>
      <c r="K77" s="2">
        <v>3382360.32</v>
      </c>
      <c r="L77" s="2">
        <v>6244046.79</v>
      </c>
      <c r="M77" s="22">
        <v>9365387.4100000001</v>
      </c>
      <c r="N77" s="42">
        <v>10741538.289999999</v>
      </c>
      <c r="O77" s="48">
        <f>12626669.58+1484665.42</f>
        <v>14111335</v>
      </c>
      <c r="P77" s="42">
        <f>13403394.75+1439059.75</f>
        <v>14842454.5</v>
      </c>
      <c r="Q77" s="42">
        <f>13281335.8+1422650.36</f>
        <v>14703986.16</v>
      </c>
      <c r="R77" s="36">
        <f>16358973.43+3318270.19</f>
        <v>19677243.620000001</v>
      </c>
      <c r="S77" s="41">
        <f>17158145.73+3489128.99</f>
        <v>20647274.719999999</v>
      </c>
      <c r="T77" s="41">
        <f>18648871.85+3524316.53</f>
        <v>22173188.380000003</v>
      </c>
      <c r="U77" s="16">
        <f t="shared" si="7"/>
        <v>1525913.6600000039</v>
      </c>
      <c r="V77" s="45">
        <f t="shared" si="4"/>
        <v>7.3903877421746436E-2</v>
      </c>
    </row>
    <row r="78" spans="1:22" x14ac:dyDescent="0.2">
      <c r="A78" s="3">
        <v>602000</v>
      </c>
      <c r="B78" s="3" t="s">
        <v>63</v>
      </c>
      <c r="C78" s="1">
        <v>626172</v>
      </c>
      <c r="D78" s="1" t="s">
        <v>63</v>
      </c>
      <c r="E78" s="2">
        <v>2139928.7000000002</v>
      </c>
      <c r="F78" s="2">
        <v>2477212.8800000008</v>
      </c>
      <c r="G78" s="2">
        <v>3022825.7600000007</v>
      </c>
      <c r="H78" s="2">
        <v>2975608.95</v>
      </c>
      <c r="I78" s="2">
        <v>3256910.72</v>
      </c>
      <c r="J78" s="2">
        <v>3273885.94</v>
      </c>
      <c r="K78" s="2">
        <v>2794666.97</v>
      </c>
      <c r="L78" s="2">
        <v>2980939.86</v>
      </c>
      <c r="M78" s="22">
        <v>3325273.48</v>
      </c>
      <c r="N78" s="42">
        <v>3304986.5300000003</v>
      </c>
      <c r="O78" s="48">
        <f>3287242.82+46096.35</f>
        <v>3333339.17</v>
      </c>
      <c r="P78" s="42">
        <f>3447408.14+51410.01</f>
        <v>3498818.15</v>
      </c>
      <c r="Q78" s="42">
        <f>3963286.39+63783.94</f>
        <v>4027070.33</v>
      </c>
      <c r="R78" s="36">
        <f>3673982.23+84413.1</f>
        <v>3758395.33</v>
      </c>
      <c r="S78" s="41">
        <f>3450640.35+78782.01</f>
        <v>3529422.36</v>
      </c>
      <c r="T78" s="41">
        <f>3365660.78+67753.13</f>
        <v>3433413.9099999997</v>
      </c>
      <c r="U78" s="16">
        <f t="shared" si="7"/>
        <v>-96008.450000000186</v>
      </c>
      <c r="V78" s="45">
        <f t="shared" si="4"/>
        <v>-2.720231250532458E-2</v>
      </c>
    </row>
    <row r="79" spans="1:22" x14ac:dyDescent="0.2">
      <c r="A79" s="3">
        <v>602002</v>
      </c>
      <c r="B79" s="3" t="s">
        <v>335</v>
      </c>
      <c r="C79" s="1">
        <v>626173</v>
      </c>
      <c r="D79" s="1" t="s">
        <v>64</v>
      </c>
      <c r="E79" s="2">
        <v>237665.62999999995</v>
      </c>
      <c r="F79" s="2">
        <v>349607.31999999995</v>
      </c>
      <c r="G79" s="2">
        <v>347172.02999999997</v>
      </c>
      <c r="H79" s="2">
        <v>280858.33</v>
      </c>
      <c r="I79" s="2">
        <v>215831.34</v>
      </c>
      <c r="J79" s="2">
        <v>263020.49</v>
      </c>
      <c r="K79" s="2">
        <v>223810.75</v>
      </c>
      <c r="L79" s="2">
        <v>327184.8</v>
      </c>
      <c r="M79" s="22">
        <v>577591.4800000001</v>
      </c>
      <c r="N79" s="42">
        <v>591781.13000000024</v>
      </c>
      <c r="O79" s="48">
        <v>509203.7</v>
      </c>
      <c r="P79" s="42">
        <v>190190.55000000002</v>
      </c>
      <c r="Q79" s="42">
        <v>429499.9</v>
      </c>
      <c r="R79" s="36">
        <v>656994.77</v>
      </c>
      <c r="S79" s="41">
        <v>477978.84999999992</v>
      </c>
      <c r="T79" s="41">
        <f>699579.7</f>
        <v>699579.7</v>
      </c>
      <c r="U79" s="16">
        <f t="shared" si="7"/>
        <v>221600.85000000003</v>
      </c>
      <c r="V79" s="45">
        <f t="shared" si="4"/>
        <v>0.46362061835999663</v>
      </c>
    </row>
    <row r="80" spans="1:22" x14ac:dyDescent="0.2">
      <c r="A80" s="3">
        <v>602501</v>
      </c>
      <c r="B80" s="3" t="s">
        <v>434</v>
      </c>
      <c r="C80" s="1">
        <v>626200</v>
      </c>
      <c r="D80" s="1" t="s">
        <v>65</v>
      </c>
      <c r="E80" s="2">
        <v>-15371.19</v>
      </c>
      <c r="F80" s="2">
        <v>13498.32</v>
      </c>
      <c r="G80" s="2">
        <v>6741.57</v>
      </c>
      <c r="H80" s="2">
        <v>-10977.65</v>
      </c>
      <c r="I80" s="2">
        <v>23166.760000000002</v>
      </c>
      <c r="J80" s="2">
        <v>9211.0400000000009</v>
      </c>
      <c r="K80" s="2">
        <v>45583.54</v>
      </c>
      <c r="L80" s="2">
        <v>40579.520000000004</v>
      </c>
      <c r="M80" s="22">
        <v>-15480.07</v>
      </c>
      <c r="N80" s="42">
        <v>304076.31</v>
      </c>
      <c r="O80" s="48">
        <f>68913.87+(-3449.35)</f>
        <v>65464.52</v>
      </c>
      <c r="P80" s="42">
        <f>32813.13+2833.27</f>
        <v>35646.399999999994</v>
      </c>
      <c r="Q80" s="42">
        <f>-5335.96+29209.29</f>
        <v>23873.33</v>
      </c>
      <c r="R80" s="36">
        <f>-575.18+27646.99</f>
        <v>27071.81</v>
      </c>
      <c r="S80" s="41">
        <f>68229.35+31810.29</f>
        <v>100039.64000000001</v>
      </c>
      <c r="T80" s="41">
        <f>37181.3+58352.64</f>
        <v>95533.94</v>
      </c>
      <c r="U80" s="16">
        <f t="shared" si="7"/>
        <v>-4505.7000000000116</v>
      </c>
      <c r="V80" s="45">
        <f t="shared" si="4"/>
        <v>-4.5039146482334515E-2</v>
      </c>
    </row>
    <row r="81" spans="1:22" x14ac:dyDescent="0.2">
      <c r="A81" s="3">
        <v>602502</v>
      </c>
      <c r="B81" s="3" t="s">
        <v>66</v>
      </c>
      <c r="C81" s="1">
        <v>626210</v>
      </c>
      <c r="D81" s="1" t="s">
        <v>66</v>
      </c>
      <c r="E81" s="2"/>
      <c r="F81" s="2"/>
      <c r="G81" s="2"/>
      <c r="H81" s="2">
        <v>72550.509999999995</v>
      </c>
      <c r="I81" s="2"/>
      <c r="J81" s="2"/>
      <c r="K81" s="2"/>
      <c r="L81" s="2"/>
      <c r="M81" s="22">
        <v>6079.9400000000005</v>
      </c>
      <c r="N81" s="43"/>
      <c r="O81" s="47"/>
      <c r="P81" s="42"/>
      <c r="Q81" s="42"/>
      <c r="R81" s="42"/>
      <c r="S81" s="42"/>
      <c r="T81" s="42"/>
      <c r="U81" s="16">
        <f t="shared" si="7"/>
        <v>0</v>
      </c>
      <c r="V81" s="45" t="e">
        <f t="shared" si="4"/>
        <v>#DIV/0!</v>
      </c>
    </row>
    <row r="82" spans="1:22" x14ac:dyDescent="0.2">
      <c r="A82" s="3">
        <v>602503</v>
      </c>
      <c r="B82" s="3" t="s">
        <v>67</v>
      </c>
      <c r="C82" s="1">
        <v>626300</v>
      </c>
      <c r="D82" s="1" t="s">
        <v>67</v>
      </c>
      <c r="E82" s="2">
        <v>973.26</v>
      </c>
      <c r="F82" s="2">
        <v>-339.14</v>
      </c>
      <c r="G82" s="2">
        <v>-114.08</v>
      </c>
      <c r="H82" s="2">
        <v>-49.730000000000004</v>
      </c>
      <c r="I82" s="2">
        <v>-41.65</v>
      </c>
      <c r="J82" s="2">
        <v>7670.58</v>
      </c>
      <c r="K82" s="2">
        <v>-7514.04</v>
      </c>
      <c r="L82" s="2">
        <v>345.64</v>
      </c>
      <c r="M82" s="22">
        <v>522.48</v>
      </c>
      <c r="N82" s="42">
        <v>171.1</v>
      </c>
      <c r="O82" s="48">
        <f>679.31+774.06</f>
        <v>1453.37</v>
      </c>
      <c r="P82" s="42">
        <f>36148.42+12511.53</f>
        <v>48659.95</v>
      </c>
      <c r="Q82" s="42">
        <f>167244.42+11030.74</f>
        <v>178275.16</v>
      </c>
      <c r="R82" s="36">
        <f>77474.72+(-16185.85)</f>
        <v>61288.87</v>
      </c>
      <c r="S82" s="41">
        <f>-72550.6+4136.25</f>
        <v>-68414.350000000006</v>
      </c>
      <c r="T82" s="41">
        <f>(-64159.06)+7964.13</f>
        <v>-56194.93</v>
      </c>
      <c r="U82" s="16">
        <f t="shared" si="7"/>
        <v>12219.420000000006</v>
      </c>
      <c r="V82" s="45">
        <f t="shared" si="4"/>
        <v>-0.1786090198912948</v>
      </c>
    </row>
    <row r="83" spans="1:22" x14ac:dyDescent="0.2">
      <c r="C83" s="3" t="s">
        <v>234</v>
      </c>
      <c r="D83" s="3" t="s">
        <v>235</v>
      </c>
      <c r="E83" s="2"/>
      <c r="F83" s="2"/>
      <c r="G83" s="2"/>
      <c r="H83" s="2"/>
      <c r="I83" s="2"/>
      <c r="J83" s="2"/>
      <c r="K83" s="2"/>
      <c r="L83" s="2"/>
      <c r="M83" s="22">
        <v>1492.51</v>
      </c>
      <c r="N83" s="22">
        <v>805.68</v>
      </c>
      <c r="O83" s="22">
        <v>1135.81</v>
      </c>
      <c r="P83" s="22"/>
      <c r="Q83" s="22"/>
      <c r="R83" s="22"/>
      <c r="S83" s="22"/>
      <c r="T83" s="22"/>
      <c r="U83" s="16">
        <f t="shared" si="7"/>
        <v>0</v>
      </c>
      <c r="V83" s="45" t="e">
        <f t="shared" si="4"/>
        <v>#DIV/0!</v>
      </c>
    </row>
    <row r="84" spans="1:22" x14ac:dyDescent="0.2">
      <c r="C84" s="1"/>
      <c r="D84" s="5" t="s">
        <v>231</v>
      </c>
      <c r="E84" s="6">
        <f>SUM(E70:E83)</f>
        <v>12219337.060000004</v>
      </c>
      <c r="F84" s="6">
        <f t="shared" ref="F84:T84" si="8">SUM(F70:F83)</f>
        <v>13206341.790000001</v>
      </c>
      <c r="G84" s="6">
        <f t="shared" si="8"/>
        <v>14241743.080000002</v>
      </c>
      <c r="H84" s="6">
        <f t="shared" si="8"/>
        <v>14982925.439999999</v>
      </c>
      <c r="I84" s="6">
        <f t="shared" si="8"/>
        <v>15021560.32</v>
      </c>
      <c r="J84" s="6">
        <f t="shared" si="8"/>
        <v>15846272.5</v>
      </c>
      <c r="K84" s="6">
        <f t="shared" si="8"/>
        <v>16064571.140000002</v>
      </c>
      <c r="L84" s="6">
        <f t="shared" si="8"/>
        <v>19640468.260000002</v>
      </c>
      <c r="M84" s="6">
        <f t="shared" si="8"/>
        <v>24080904.500000004</v>
      </c>
      <c r="N84" s="6">
        <f t="shared" si="8"/>
        <v>26690547.449999996</v>
      </c>
      <c r="O84" s="6">
        <f t="shared" si="8"/>
        <v>30919424.619999997</v>
      </c>
      <c r="P84" s="6">
        <f t="shared" si="8"/>
        <v>32205733.09</v>
      </c>
      <c r="Q84" s="6">
        <f t="shared" si="8"/>
        <v>32295167.429999996</v>
      </c>
      <c r="R84" s="6">
        <f t="shared" si="8"/>
        <v>38268367.540000007</v>
      </c>
      <c r="S84" s="6">
        <f t="shared" si="8"/>
        <v>39569442.530000001</v>
      </c>
      <c r="T84" s="6">
        <f t="shared" si="8"/>
        <v>41144054.810000002</v>
      </c>
      <c r="U84" s="17">
        <f>SUM(U70:U83)</f>
        <v>1574612.2800000031</v>
      </c>
      <c r="V84" s="45">
        <f t="shared" si="4"/>
        <v>3.9793643259093014E-2</v>
      </c>
    </row>
    <row r="85" spans="1:22" x14ac:dyDescent="0.2">
      <c r="C85" s="1"/>
      <c r="D85" s="1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8"/>
      <c r="V85" s="45"/>
    </row>
    <row r="86" spans="1:22" x14ac:dyDescent="0.2">
      <c r="C86" s="1"/>
      <c r="D86" s="5" t="s">
        <v>232</v>
      </c>
      <c r="E86" s="7">
        <f>E26+E69+E84</f>
        <v>49834894.799999997</v>
      </c>
      <c r="F86" s="7">
        <f>F26+F69+F84</f>
        <v>52370044.680000007</v>
      </c>
      <c r="G86" s="7">
        <f t="shared" ref="G86:K86" si="9">G26+G69+G84</f>
        <v>55912180.439999998</v>
      </c>
      <c r="H86" s="7">
        <f t="shared" si="9"/>
        <v>59368779.149999991</v>
      </c>
      <c r="I86" s="7">
        <f t="shared" si="9"/>
        <v>57636235.889999993</v>
      </c>
      <c r="J86" s="7">
        <f t="shared" si="9"/>
        <v>61732825.07</v>
      </c>
      <c r="K86" s="7">
        <f t="shared" si="9"/>
        <v>62956857.089999996</v>
      </c>
      <c r="L86" s="7">
        <f t="shared" ref="L86:U86" si="10">L26+L69+L84</f>
        <v>68716623.600000024</v>
      </c>
      <c r="M86" s="7">
        <f t="shared" si="10"/>
        <v>75588977.879999995</v>
      </c>
      <c r="N86" s="7">
        <f t="shared" si="10"/>
        <v>84149313.829999983</v>
      </c>
      <c r="O86" s="7">
        <f t="shared" si="10"/>
        <v>90745631.590000004</v>
      </c>
      <c r="P86" s="7">
        <f t="shared" si="10"/>
        <v>92439363.060000002</v>
      </c>
      <c r="Q86" s="7">
        <f t="shared" si="10"/>
        <v>90435804.090000004</v>
      </c>
      <c r="R86" s="7">
        <f t="shared" si="10"/>
        <v>100192842.09</v>
      </c>
      <c r="S86" s="7">
        <f t="shared" si="10"/>
        <v>103476176.81</v>
      </c>
      <c r="T86" s="7">
        <f t="shared" si="10"/>
        <v>104150896.21000001</v>
      </c>
      <c r="U86" s="19">
        <f t="shared" si="10"/>
        <v>674719.40000000689</v>
      </c>
      <c r="V86" s="45">
        <f t="shared" ref="V86:V149" si="11">U86/S86</f>
        <v>6.520528886942812E-3</v>
      </c>
    </row>
    <row r="87" spans="1:22" x14ac:dyDescent="0.2">
      <c r="A87" s="3">
        <v>703000</v>
      </c>
      <c r="B87" s="3" t="s">
        <v>353</v>
      </c>
      <c r="C87" s="1">
        <v>711100</v>
      </c>
      <c r="D87" s="1" t="s">
        <v>68</v>
      </c>
      <c r="E87" s="2"/>
      <c r="F87" s="2">
        <v>3720</v>
      </c>
      <c r="G87" s="2"/>
      <c r="H87" s="2">
        <v>2060</v>
      </c>
      <c r="I87" s="2"/>
      <c r="J87" s="2">
        <v>3800</v>
      </c>
      <c r="K87" s="2"/>
      <c r="L87" s="2">
        <v>1191</v>
      </c>
      <c r="M87" s="22"/>
      <c r="N87" s="42">
        <v>640</v>
      </c>
      <c r="O87" s="42">
        <v>1280</v>
      </c>
      <c r="P87" s="42">
        <v>640</v>
      </c>
      <c r="Q87" s="42">
        <v>4343</v>
      </c>
      <c r="R87" s="39">
        <v>4643</v>
      </c>
      <c r="S87" s="41">
        <v>9026</v>
      </c>
      <c r="T87" s="41">
        <v>14512</v>
      </c>
      <c r="U87" s="16">
        <f t="shared" ref="U87:U150" si="12">T87-S87</f>
        <v>5486</v>
      </c>
      <c r="V87" s="45">
        <f t="shared" si="11"/>
        <v>0.60779968978506538</v>
      </c>
    </row>
    <row r="88" spans="1:22" x14ac:dyDescent="0.2">
      <c r="A88" s="3">
        <v>704500</v>
      </c>
      <c r="B88" s="3" t="s">
        <v>354</v>
      </c>
      <c r="C88" s="1">
        <v>711405</v>
      </c>
      <c r="D88" s="1" t="s">
        <v>182</v>
      </c>
      <c r="E88" s="2"/>
      <c r="F88" s="2"/>
      <c r="G88" s="2"/>
      <c r="H88" s="2"/>
      <c r="I88" s="2"/>
      <c r="J88" s="2"/>
      <c r="K88" s="2"/>
      <c r="L88" s="2"/>
      <c r="M88" s="22"/>
      <c r="N88" s="42"/>
      <c r="O88" s="42"/>
      <c r="P88" s="42"/>
      <c r="Q88" s="42"/>
      <c r="R88" s="42"/>
      <c r="S88" s="48">
        <f>18960-18960</f>
        <v>0</v>
      </c>
      <c r="T88" s="48">
        <f>9688.65+(-9688.65)</f>
        <v>0</v>
      </c>
      <c r="U88" s="16">
        <f t="shared" si="12"/>
        <v>0</v>
      </c>
      <c r="V88" s="45" t="e">
        <f t="shared" si="11"/>
        <v>#DIV/0!</v>
      </c>
    </row>
    <row r="89" spans="1:22" x14ac:dyDescent="0.2">
      <c r="A89" s="3">
        <v>704600</v>
      </c>
      <c r="B89" s="3" t="s">
        <v>355</v>
      </c>
      <c r="C89" s="1">
        <v>711500</v>
      </c>
      <c r="D89" s="1" t="s">
        <v>69</v>
      </c>
      <c r="E89" s="2">
        <v>62701.19</v>
      </c>
      <c r="F89" s="2">
        <v>-83775.83</v>
      </c>
      <c r="G89" s="2">
        <v>-38968.239999999998</v>
      </c>
      <c r="H89" s="2">
        <v>43116.76</v>
      </c>
      <c r="I89" s="2">
        <v>-179497.55000000002</v>
      </c>
      <c r="J89" s="2">
        <v>-2436.06</v>
      </c>
      <c r="K89" s="2">
        <v>-42143.05</v>
      </c>
      <c r="L89" s="2">
        <v>6778.2300000000005</v>
      </c>
      <c r="M89" s="22">
        <v>295616.42</v>
      </c>
      <c r="N89" s="42">
        <v>344824.16000000003</v>
      </c>
      <c r="O89" s="42">
        <v>282037.37</v>
      </c>
      <c r="P89" s="42">
        <f>-66615.7+737818.17</f>
        <v>671202.47000000009</v>
      </c>
      <c r="Q89" s="42">
        <f>1578431.89+(-737818.17)</f>
        <v>840613.71999999986</v>
      </c>
      <c r="R89" s="39">
        <v>741631.46</v>
      </c>
      <c r="S89" s="41">
        <v>804066.36</v>
      </c>
      <c r="T89" s="41">
        <v>973374.22</v>
      </c>
      <c r="U89" s="16">
        <f t="shared" si="12"/>
        <v>169307.86</v>
      </c>
      <c r="V89" s="45">
        <f t="shared" si="11"/>
        <v>0.21056453599178057</v>
      </c>
    </row>
    <row r="90" spans="1:22" x14ac:dyDescent="0.2">
      <c r="A90" s="3">
        <v>702106</v>
      </c>
      <c r="B90" s="3" t="s">
        <v>351</v>
      </c>
      <c r="C90" s="1">
        <v>713100</v>
      </c>
      <c r="D90" s="1" t="s">
        <v>70</v>
      </c>
      <c r="E90" s="2">
        <v>6918.2099999999964</v>
      </c>
      <c r="F90" s="2">
        <v>-10007.319999999992</v>
      </c>
      <c r="G90" s="2">
        <v>60405.85</v>
      </c>
      <c r="H90" s="2">
        <v>48124.229999999996</v>
      </c>
      <c r="I90" s="2">
        <v>75029.08</v>
      </c>
      <c r="J90" s="2">
        <v>66750.929999999993</v>
      </c>
      <c r="K90" s="2">
        <v>87587.38</v>
      </c>
      <c r="L90" s="2">
        <v>104586.88</v>
      </c>
      <c r="M90" s="22">
        <v>121543.87000000004</v>
      </c>
      <c r="N90" s="42">
        <v>127514.65000000002</v>
      </c>
      <c r="O90" s="42">
        <v>158555.16</v>
      </c>
      <c r="P90" s="42">
        <v>165729.63</v>
      </c>
      <c r="Q90" s="42">
        <v>146042.26</v>
      </c>
      <c r="R90" s="39">
        <v>168647.87000000002</v>
      </c>
      <c r="S90" s="41">
        <v>138763.84</v>
      </c>
      <c r="T90" s="41">
        <v>2946.95</v>
      </c>
      <c r="U90" s="16">
        <f t="shared" si="12"/>
        <v>-135816.88999999998</v>
      </c>
      <c r="V90" s="45">
        <f t="shared" si="11"/>
        <v>-0.97876283907969097</v>
      </c>
    </row>
    <row r="91" spans="1:22" x14ac:dyDescent="0.2">
      <c r="A91" s="3">
        <v>702106</v>
      </c>
      <c r="B91" s="3" t="s">
        <v>351</v>
      </c>
      <c r="C91" s="1">
        <v>713101</v>
      </c>
      <c r="D91" s="1" t="s">
        <v>71</v>
      </c>
      <c r="E91" s="2"/>
      <c r="F91" s="2">
        <v>27.96</v>
      </c>
      <c r="G91" s="2">
        <v>2767.68</v>
      </c>
      <c r="H91" s="2">
        <v>-1707.07</v>
      </c>
      <c r="I91" s="2"/>
      <c r="J91" s="2"/>
      <c r="K91" s="2">
        <v>-308</v>
      </c>
      <c r="L91" s="2"/>
      <c r="M91" s="22"/>
      <c r="N91" s="47"/>
      <c r="O91" s="42"/>
      <c r="P91" s="42"/>
      <c r="Q91" s="42"/>
      <c r="R91" s="42"/>
      <c r="S91" s="42"/>
      <c r="T91" s="42"/>
      <c r="U91" s="16">
        <f t="shared" si="12"/>
        <v>0</v>
      </c>
      <c r="V91" s="45" t="e">
        <f t="shared" si="11"/>
        <v>#DIV/0!</v>
      </c>
    </row>
    <row r="92" spans="1:22" x14ac:dyDescent="0.2">
      <c r="A92" s="3">
        <v>702107</v>
      </c>
      <c r="B92" s="3" t="s">
        <v>183</v>
      </c>
      <c r="C92" s="1">
        <v>713105</v>
      </c>
      <c r="D92" s="1" t="s">
        <v>183</v>
      </c>
      <c r="E92" s="2"/>
      <c r="F92" s="2"/>
      <c r="G92" s="2"/>
      <c r="H92" s="2"/>
      <c r="I92" s="2"/>
      <c r="J92" s="2"/>
      <c r="K92" s="2"/>
      <c r="L92" s="2"/>
      <c r="M92" s="22"/>
      <c r="N92" s="42">
        <v>36.9</v>
      </c>
      <c r="O92" s="42"/>
      <c r="P92" s="42"/>
      <c r="Q92" s="42"/>
      <c r="R92" s="42"/>
      <c r="S92" s="42"/>
      <c r="T92" s="42"/>
      <c r="U92" s="16">
        <f t="shared" si="12"/>
        <v>0</v>
      </c>
      <c r="V92" s="45" t="e">
        <f t="shared" si="11"/>
        <v>#DIV/0!</v>
      </c>
    </row>
    <row r="93" spans="1:22" x14ac:dyDescent="0.2">
      <c r="A93" s="72">
        <v>702108</v>
      </c>
      <c r="B93" s="72" t="s">
        <v>184</v>
      </c>
      <c r="C93" s="72">
        <v>713110</v>
      </c>
      <c r="D93" s="72" t="s">
        <v>184</v>
      </c>
      <c r="E93" s="2"/>
      <c r="F93" s="2"/>
      <c r="G93" s="2"/>
      <c r="H93" s="2"/>
      <c r="I93" s="2"/>
      <c r="J93" s="2"/>
      <c r="K93" s="2"/>
      <c r="L93" s="2"/>
      <c r="M93" s="22"/>
      <c r="N93" s="42"/>
      <c r="O93" s="42"/>
      <c r="P93" s="42"/>
      <c r="Q93" s="42"/>
      <c r="R93" s="42"/>
      <c r="S93" s="42"/>
      <c r="T93" s="42">
        <v>3605</v>
      </c>
      <c r="U93" s="16">
        <f t="shared" si="12"/>
        <v>3605</v>
      </c>
      <c r="V93" s="45" t="e">
        <f t="shared" si="11"/>
        <v>#DIV/0!</v>
      </c>
    </row>
    <row r="94" spans="1:22" x14ac:dyDescent="0.2">
      <c r="A94" s="3">
        <v>702109</v>
      </c>
      <c r="B94" s="3" t="s">
        <v>72</v>
      </c>
      <c r="C94" s="1">
        <v>713115</v>
      </c>
      <c r="D94" s="1" t="s">
        <v>72</v>
      </c>
      <c r="E94" s="2"/>
      <c r="F94" s="2"/>
      <c r="G94" s="2">
        <v>214.46</v>
      </c>
      <c r="H94" s="2"/>
      <c r="I94" s="2">
        <v>37.49</v>
      </c>
      <c r="J94" s="2">
        <v>358.77</v>
      </c>
      <c r="K94" s="2">
        <v>473.5</v>
      </c>
      <c r="L94" s="2">
        <v>256</v>
      </c>
      <c r="M94" s="22">
        <v>153.18</v>
      </c>
      <c r="N94" s="42">
        <v>307.08000000000004</v>
      </c>
      <c r="O94" s="42"/>
      <c r="P94" s="42"/>
      <c r="Q94" s="42"/>
      <c r="R94" s="42"/>
      <c r="S94" s="42"/>
      <c r="T94" s="42"/>
      <c r="U94" s="16">
        <f t="shared" si="12"/>
        <v>0</v>
      </c>
      <c r="V94" s="45" t="e">
        <f t="shared" si="11"/>
        <v>#DIV/0!</v>
      </c>
    </row>
    <row r="95" spans="1:22" x14ac:dyDescent="0.2">
      <c r="A95" s="3">
        <v>702111</v>
      </c>
      <c r="B95" s="3" t="s">
        <v>352</v>
      </c>
      <c r="C95" s="1">
        <v>713125</v>
      </c>
      <c r="D95" s="1" t="s">
        <v>73</v>
      </c>
      <c r="E95" s="2">
        <v>2870.65</v>
      </c>
      <c r="F95" s="2">
        <v>1668.38</v>
      </c>
      <c r="G95" s="2">
        <v>1922.16</v>
      </c>
      <c r="H95" s="2">
        <v>76</v>
      </c>
      <c r="I95" s="2">
        <v>-276.69</v>
      </c>
      <c r="J95" s="2">
        <v>331.97</v>
      </c>
      <c r="K95" s="2">
        <v>1376.85</v>
      </c>
      <c r="L95" s="2">
        <v>1162.6600000000001</v>
      </c>
      <c r="M95" s="22">
        <v>1593.8</v>
      </c>
      <c r="N95" s="42">
        <v>1741.5100000000002</v>
      </c>
      <c r="O95" s="42">
        <v>117.18</v>
      </c>
      <c r="P95" s="42">
        <v>186.97</v>
      </c>
      <c r="Q95" s="42"/>
      <c r="R95" s="39">
        <v>5800.03</v>
      </c>
      <c r="S95" s="41">
        <v>3661.82</v>
      </c>
      <c r="T95" s="41"/>
      <c r="U95" s="16">
        <f t="shared" si="12"/>
        <v>-3661.82</v>
      </c>
      <c r="V95" s="45">
        <f t="shared" si="11"/>
        <v>-1</v>
      </c>
    </row>
    <row r="96" spans="1:22" x14ac:dyDescent="0.2">
      <c r="A96" s="3">
        <v>702200</v>
      </c>
      <c r="B96" s="3" t="s">
        <v>74</v>
      </c>
      <c r="C96" s="1">
        <v>713135</v>
      </c>
      <c r="D96" s="1" t="s">
        <v>74</v>
      </c>
      <c r="E96" s="2">
        <v>76995.62999999999</v>
      </c>
      <c r="F96" s="2">
        <v>72543.129999999976</v>
      </c>
      <c r="G96" s="2">
        <v>57504.819999999992</v>
      </c>
      <c r="H96" s="2">
        <v>63070.780000000013</v>
      </c>
      <c r="I96" s="2">
        <v>75329.66</v>
      </c>
      <c r="J96" s="2">
        <v>71305.039999999994</v>
      </c>
      <c r="K96" s="2">
        <v>54886.04</v>
      </c>
      <c r="L96" s="2">
        <v>42115.71</v>
      </c>
      <c r="M96" s="22">
        <v>59987.63</v>
      </c>
      <c r="N96" s="42">
        <v>57490.330000000009</v>
      </c>
      <c r="O96" s="42">
        <v>64447.62</v>
      </c>
      <c r="P96" s="42">
        <v>93116.330000000045</v>
      </c>
      <c r="Q96" s="42">
        <v>140509.85999999999</v>
      </c>
      <c r="R96" s="39">
        <v>223522.03000000006</v>
      </c>
      <c r="S96" s="41">
        <v>150339.32</v>
      </c>
      <c r="T96" s="41">
        <v>221720.71000000002</v>
      </c>
      <c r="U96" s="16">
        <f t="shared" si="12"/>
        <v>71381.390000000014</v>
      </c>
      <c r="V96" s="45">
        <f t="shared" si="11"/>
        <v>0.47480186820054798</v>
      </c>
    </row>
    <row r="97" spans="1:22" x14ac:dyDescent="0.2">
      <c r="A97" s="3">
        <v>702103</v>
      </c>
      <c r="B97" s="3" t="s">
        <v>349</v>
      </c>
      <c r="C97" s="1">
        <v>713140</v>
      </c>
      <c r="D97" s="1" t="s">
        <v>75</v>
      </c>
      <c r="E97" s="2">
        <v>857.07</v>
      </c>
      <c r="F97" s="2">
        <v>500</v>
      </c>
      <c r="G97" s="2">
        <v>761</v>
      </c>
      <c r="H97" s="2"/>
      <c r="I97" s="2"/>
      <c r="J97" s="2"/>
      <c r="K97" s="2">
        <v>2111.5</v>
      </c>
      <c r="L97" s="2">
        <v>-1127</v>
      </c>
      <c r="M97" s="22"/>
      <c r="N97" s="43"/>
      <c r="O97" s="42"/>
      <c r="P97" s="42"/>
      <c r="Q97" s="42"/>
      <c r="R97" s="39">
        <v>413.69</v>
      </c>
      <c r="S97" s="41">
        <v>796.42000000000007</v>
      </c>
      <c r="T97" s="41">
        <f>20309.95</f>
        <v>20309.95</v>
      </c>
      <c r="U97" s="16">
        <f t="shared" si="12"/>
        <v>19513.53</v>
      </c>
      <c r="V97" s="45">
        <f t="shared" si="11"/>
        <v>24.501556967429241</v>
      </c>
    </row>
    <row r="98" spans="1:22" x14ac:dyDescent="0.2">
      <c r="A98" s="3">
        <v>705700</v>
      </c>
      <c r="B98" s="3" t="s">
        <v>437</v>
      </c>
      <c r="C98" s="1">
        <v>713145</v>
      </c>
      <c r="D98" s="1" t="s">
        <v>76</v>
      </c>
      <c r="E98" s="2"/>
      <c r="F98" s="2"/>
      <c r="G98" s="2"/>
      <c r="H98" s="2">
        <v>3588</v>
      </c>
      <c r="I98" s="2">
        <v>6226</v>
      </c>
      <c r="J98" s="2"/>
      <c r="K98" s="2"/>
      <c r="L98" s="2"/>
      <c r="M98" s="22"/>
      <c r="N98" s="43"/>
      <c r="O98" s="42">
        <v>357.14</v>
      </c>
      <c r="P98" s="42"/>
      <c r="Q98" s="42"/>
      <c r="R98" s="42"/>
      <c r="S98" s="41">
        <v>19440</v>
      </c>
      <c r="T98" s="41">
        <v>32886</v>
      </c>
      <c r="U98" s="16">
        <f t="shared" si="12"/>
        <v>13446</v>
      </c>
      <c r="V98" s="45">
        <f t="shared" si="11"/>
        <v>0.69166666666666665</v>
      </c>
    </row>
    <row r="99" spans="1:22" x14ac:dyDescent="0.2">
      <c r="A99" s="72">
        <v>702112</v>
      </c>
      <c r="B99" s="72" t="s">
        <v>438</v>
      </c>
      <c r="C99" s="72">
        <v>713150</v>
      </c>
      <c r="D99" s="72" t="s">
        <v>258</v>
      </c>
      <c r="E99" s="2"/>
      <c r="F99" s="2"/>
      <c r="G99" s="2"/>
      <c r="H99" s="2"/>
      <c r="I99" s="2"/>
      <c r="J99" s="2"/>
      <c r="K99" s="2"/>
      <c r="L99" s="2"/>
      <c r="M99" s="22"/>
      <c r="N99" s="43"/>
      <c r="O99" s="42"/>
      <c r="P99" s="42"/>
      <c r="Q99" s="42"/>
      <c r="R99" s="42"/>
      <c r="S99" s="41"/>
      <c r="T99" s="41">
        <v>9144.7400000000016</v>
      </c>
      <c r="U99" s="16">
        <f t="shared" si="12"/>
        <v>9144.7400000000016</v>
      </c>
      <c r="V99" s="45" t="e">
        <f t="shared" si="11"/>
        <v>#DIV/0!</v>
      </c>
    </row>
    <row r="100" spans="1:22" x14ac:dyDescent="0.2">
      <c r="A100" s="3">
        <v>701000</v>
      </c>
      <c r="B100" s="3" t="s">
        <v>77</v>
      </c>
      <c r="C100" s="1">
        <v>721100</v>
      </c>
      <c r="D100" s="1" t="s">
        <v>77</v>
      </c>
      <c r="E100" s="2">
        <v>1926.89</v>
      </c>
      <c r="F100" s="2">
        <v>2254.9699999999998</v>
      </c>
      <c r="G100" s="2">
        <v>2779.17</v>
      </c>
      <c r="H100" s="2">
        <v>4168.1400000000003</v>
      </c>
      <c r="I100" s="2">
        <v>895</v>
      </c>
      <c r="J100" s="2">
        <v>436.48</v>
      </c>
      <c r="K100" s="2">
        <v>3622.09</v>
      </c>
      <c r="L100" s="2">
        <v>4232.4799999999996</v>
      </c>
      <c r="M100" s="22">
        <v>2394.8000000000002</v>
      </c>
      <c r="N100" s="42">
        <v>-104.99000000000001</v>
      </c>
      <c r="O100" s="42"/>
      <c r="P100" s="42"/>
      <c r="Q100" s="42"/>
      <c r="R100" s="42"/>
      <c r="S100" s="42"/>
      <c r="T100" s="42"/>
      <c r="U100" s="16">
        <f t="shared" si="12"/>
        <v>0</v>
      </c>
      <c r="V100" s="45" t="e">
        <f t="shared" si="11"/>
        <v>#DIV/0!</v>
      </c>
    </row>
    <row r="101" spans="1:22" x14ac:dyDescent="0.2">
      <c r="A101" s="3">
        <v>701001</v>
      </c>
      <c r="B101" s="3" t="s">
        <v>78</v>
      </c>
      <c r="C101" s="1">
        <v>721105</v>
      </c>
      <c r="D101" s="1" t="s">
        <v>78</v>
      </c>
      <c r="E101" s="2">
        <v>12908.679999999998</v>
      </c>
      <c r="F101" s="2">
        <v>9832.5</v>
      </c>
      <c r="G101" s="2">
        <v>9370.7900000000009</v>
      </c>
      <c r="H101" s="2">
        <v>11583.699999999999</v>
      </c>
      <c r="I101" s="2">
        <v>9809.01</v>
      </c>
      <c r="J101" s="2">
        <v>18231.63</v>
      </c>
      <c r="K101" s="2">
        <v>11571.529999999999</v>
      </c>
      <c r="L101" s="2">
        <v>18060.79</v>
      </c>
      <c r="M101" s="22">
        <v>10955.55</v>
      </c>
      <c r="N101" s="42">
        <v>9600.9700000000012</v>
      </c>
      <c r="O101" s="42">
        <v>15879.47</v>
      </c>
      <c r="P101" s="42">
        <v>19424.93</v>
      </c>
      <c r="Q101" s="42">
        <v>33799.18</v>
      </c>
      <c r="R101" s="39">
        <v>40819.83</v>
      </c>
      <c r="S101" s="41">
        <v>12873.68</v>
      </c>
      <c r="T101" s="41">
        <v>3144.7400000000002</v>
      </c>
      <c r="U101" s="16">
        <f t="shared" si="12"/>
        <v>-9728.94</v>
      </c>
      <c r="V101" s="45">
        <f t="shared" si="11"/>
        <v>-0.75572330522430264</v>
      </c>
    </row>
    <row r="102" spans="1:22" x14ac:dyDescent="0.2">
      <c r="A102" s="3">
        <v>701200</v>
      </c>
      <c r="B102" s="3" t="s">
        <v>338</v>
      </c>
      <c r="C102" s="1">
        <v>721110</v>
      </c>
      <c r="D102" s="1" t="s">
        <v>79</v>
      </c>
      <c r="E102" s="2"/>
      <c r="F102" s="2">
        <v>27</v>
      </c>
      <c r="G102" s="2"/>
      <c r="H102" s="2"/>
      <c r="I102" s="2"/>
      <c r="J102" s="2"/>
      <c r="K102" s="2"/>
      <c r="L102" s="2"/>
      <c r="M102" s="22"/>
      <c r="N102" s="43"/>
      <c r="O102" s="42"/>
      <c r="P102" s="42"/>
      <c r="Q102" s="42"/>
      <c r="R102" s="42"/>
      <c r="S102" s="42"/>
      <c r="T102" s="42"/>
      <c r="U102" s="16">
        <f t="shared" si="12"/>
        <v>0</v>
      </c>
      <c r="V102" s="45" t="e">
        <f t="shared" si="11"/>
        <v>#DIV/0!</v>
      </c>
    </row>
    <row r="103" spans="1:22" x14ac:dyDescent="0.2">
      <c r="A103" s="3">
        <v>701202</v>
      </c>
      <c r="B103" s="3" t="s">
        <v>80</v>
      </c>
      <c r="C103" s="1">
        <v>721115</v>
      </c>
      <c r="D103" s="1" t="s">
        <v>80</v>
      </c>
      <c r="E103" s="2">
        <v>-160</v>
      </c>
      <c r="F103" s="2">
        <v>1292.3499999999999</v>
      </c>
      <c r="G103" s="2">
        <v>119.5</v>
      </c>
      <c r="H103" s="2">
        <v>823.3</v>
      </c>
      <c r="I103" s="2">
        <v>1347.4</v>
      </c>
      <c r="J103" s="2">
        <v>1137.5</v>
      </c>
      <c r="K103" s="2">
        <v>1360</v>
      </c>
      <c r="L103" s="2">
        <v>920</v>
      </c>
      <c r="M103" s="22">
        <v>540.70000000000005</v>
      </c>
      <c r="N103" s="42">
        <v>1250</v>
      </c>
      <c r="O103" s="42">
        <v>585.9</v>
      </c>
      <c r="P103" s="42">
        <v>3295</v>
      </c>
      <c r="Q103" s="42">
        <v>10380</v>
      </c>
      <c r="R103" s="39">
        <v>7967.26</v>
      </c>
      <c r="S103" s="41">
        <v>4541</v>
      </c>
      <c r="T103" s="41">
        <v>225</v>
      </c>
      <c r="U103" s="16">
        <f t="shared" si="12"/>
        <v>-4316</v>
      </c>
      <c r="V103" s="45">
        <f t="shared" si="11"/>
        <v>-0.95045144241356527</v>
      </c>
    </row>
    <row r="104" spans="1:22" x14ac:dyDescent="0.2">
      <c r="A104" s="3">
        <v>701404</v>
      </c>
      <c r="B104" s="3" t="s">
        <v>343</v>
      </c>
      <c r="C104" s="1">
        <v>721120</v>
      </c>
      <c r="D104" s="1" t="s">
        <v>81</v>
      </c>
      <c r="E104" s="2">
        <v>21500.04</v>
      </c>
      <c r="F104" s="2">
        <v>29811.42</v>
      </c>
      <c r="G104" s="2">
        <v>47434.549999999996</v>
      </c>
      <c r="H104" s="2">
        <v>35194.339999999997</v>
      </c>
      <c r="I104" s="2">
        <v>44008.93</v>
      </c>
      <c r="J104" s="2">
        <v>42508.71</v>
      </c>
      <c r="K104" s="2">
        <v>33880.959999999999</v>
      </c>
      <c r="L104" s="2">
        <v>34294.42</v>
      </c>
      <c r="M104" s="22">
        <v>70885.73000000001</v>
      </c>
      <c r="N104" s="42">
        <v>64191.99</v>
      </c>
      <c r="O104" s="42">
        <v>99528.58</v>
      </c>
      <c r="P104" s="42">
        <v>124676</v>
      </c>
      <c r="Q104" s="42">
        <v>121909.8</v>
      </c>
      <c r="R104" s="39">
        <v>105385.64</v>
      </c>
      <c r="S104" s="41">
        <v>106945.98</v>
      </c>
      <c r="T104" s="41">
        <v>53016.38</v>
      </c>
      <c r="U104" s="16">
        <f t="shared" si="12"/>
        <v>-53929.599999999999</v>
      </c>
      <c r="V104" s="45">
        <f t="shared" si="11"/>
        <v>-0.50426953869607816</v>
      </c>
    </row>
    <row r="105" spans="1:22" x14ac:dyDescent="0.2">
      <c r="A105" s="3">
        <v>701100</v>
      </c>
      <c r="B105" s="3" t="s">
        <v>337</v>
      </c>
      <c r="C105" s="1">
        <v>721125</v>
      </c>
      <c r="D105" s="1" t="s">
        <v>82</v>
      </c>
      <c r="E105" s="2">
        <v>987</v>
      </c>
      <c r="F105" s="2"/>
      <c r="G105" s="2"/>
      <c r="H105" s="2">
        <v>2000</v>
      </c>
      <c r="I105" s="2"/>
      <c r="J105" s="2"/>
      <c r="K105" s="2"/>
      <c r="L105" s="2"/>
      <c r="M105" s="22">
        <v>6000</v>
      </c>
      <c r="N105" s="43"/>
      <c r="O105" s="22"/>
      <c r="P105" s="22"/>
      <c r="Q105" s="42">
        <v>1977.87</v>
      </c>
      <c r="R105" s="39">
        <v>1401.45</v>
      </c>
      <c r="S105" s="41">
        <v>1842.67</v>
      </c>
      <c r="T105" s="41"/>
      <c r="U105" s="16">
        <f t="shared" si="12"/>
        <v>-1842.67</v>
      </c>
      <c r="V105" s="45">
        <f t="shared" si="11"/>
        <v>-1</v>
      </c>
    </row>
    <row r="106" spans="1:22" x14ac:dyDescent="0.2">
      <c r="A106" s="3">
        <v>701301</v>
      </c>
      <c r="B106" s="3" t="s">
        <v>339</v>
      </c>
      <c r="C106" s="1">
        <v>721135</v>
      </c>
      <c r="D106" s="1" t="s">
        <v>83</v>
      </c>
      <c r="E106" s="2"/>
      <c r="F106" s="2"/>
      <c r="G106" s="2"/>
      <c r="H106" s="2">
        <v>200</v>
      </c>
      <c r="I106" s="2"/>
      <c r="J106" s="2"/>
      <c r="K106" s="2"/>
      <c r="L106" s="2"/>
      <c r="M106" s="22"/>
      <c r="N106" s="43"/>
      <c r="O106" s="22"/>
      <c r="P106" s="22"/>
      <c r="Q106" s="22"/>
      <c r="R106" s="22"/>
      <c r="S106" s="22"/>
      <c r="T106" s="22">
        <v>190</v>
      </c>
      <c r="U106" s="16">
        <f t="shared" si="12"/>
        <v>190</v>
      </c>
      <c r="V106" s="45" t="e">
        <f t="shared" si="11"/>
        <v>#DIV/0!</v>
      </c>
    </row>
    <row r="107" spans="1:22" x14ac:dyDescent="0.2">
      <c r="A107" s="3">
        <v>701403</v>
      </c>
      <c r="B107" s="3" t="s">
        <v>342</v>
      </c>
      <c r="C107" s="1">
        <v>721140</v>
      </c>
      <c r="D107" s="1" t="s">
        <v>84</v>
      </c>
      <c r="E107" s="2">
        <v>20543.040000000005</v>
      </c>
      <c r="F107" s="2">
        <v>22442.03</v>
      </c>
      <c r="G107" s="2">
        <v>28346.530000000006</v>
      </c>
      <c r="H107" s="2">
        <v>34422.94999999999</v>
      </c>
      <c r="I107" s="2">
        <v>30334.65</v>
      </c>
      <c r="J107" s="2">
        <v>40861.08</v>
      </c>
      <c r="K107" s="2">
        <v>47762.090000000011</v>
      </c>
      <c r="L107" s="2">
        <v>49771.11</v>
      </c>
      <c r="M107" s="22">
        <v>27875.250000000004</v>
      </c>
      <c r="N107" s="42">
        <v>41031.430000000008</v>
      </c>
      <c r="O107" s="42">
        <v>38952.11</v>
      </c>
      <c r="P107" s="42">
        <v>44576.689999999995</v>
      </c>
      <c r="Q107" s="42">
        <v>56915.69</v>
      </c>
      <c r="R107" s="39">
        <v>50666.160000000011</v>
      </c>
      <c r="S107" s="41">
        <v>40563.120000000003</v>
      </c>
      <c r="T107" s="41">
        <v>30452.94</v>
      </c>
      <c r="U107" s="16">
        <f t="shared" si="12"/>
        <v>-10110.180000000004</v>
      </c>
      <c r="V107" s="45">
        <f t="shared" si="11"/>
        <v>-0.24924562015939611</v>
      </c>
    </row>
    <row r="108" spans="1:22" x14ac:dyDescent="0.2">
      <c r="A108" s="3">
        <v>701302</v>
      </c>
      <c r="B108" s="3" t="s">
        <v>340</v>
      </c>
      <c r="C108" s="1">
        <v>721145</v>
      </c>
      <c r="D108" s="1" t="s">
        <v>85</v>
      </c>
      <c r="E108" s="2">
        <v>277239.33999999997</v>
      </c>
      <c r="F108" s="2">
        <v>267165.94</v>
      </c>
      <c r="G108" s="2">
        <v>72176.320000000007</v>
      </c>
      <c r="H108" s="2">
        <v>51550.96</v>
      </c>
      <c r="I108" s="2">
        <v>38211.759999999995</v>
      </c>
      <c r="J108" s="2">
        <v>60244.06</v>
      </c>
      <c r="K108" s="2">
        <v>57398.95</v>
      </c>
      <c r="L108" s="2">
        <v>81872.36</v>
      </c>
      <c r="M108" s="22">
        <v>75044</v>
      </c>
      <c r="N108" s="42">
        <v>58581.59</v>
      </c>
      <c r="O108" s="42">
        <v>92388.87</v>
      </c>
      <c r="P108" s="42">
        <v>100539.96</v>
      </c>
      <c r="Q108" s="42">
        <v>111865.59</v>
      </c>
      <c r="R108" s="39">
        <v>103445.98000000003</v>
      </c>
      <c r="S108" s="41">
        <v>160168.85</v>
      </c>
      <c r="T108" s="41">
        <v>166380.11000000002</v>
      </c>
      <c r="U108" s="16">
        <f t="shared" si="12"/>
        <v>6211.2600000000093</v>
      </c>
      <c r="V108" s="45">
        <f t="shared" si="11"/>
        <v>3.8779450561079815E-2</v>
      </c>
    </row>
    <row r="109" spans="1:22" x14ac:dyDescent="0.2">
      <c r="A109" s="3">
        <v>701400</v>
      </c>
      <c r="B109" s="3" t="s">
        <v>341</v>
      </c>
      <c r="C109" s="1">
        <v>721146</v>
      </c>
      <c r="D109" s="1" t="s">
        <v>86</v>
      </c>
      <c r="E109" s="2">
        <v>1000</v>
      </c>
      <c r="F109" s="2">
        <v>2250</v>
      </c>
      <c r="G109" s="2">
        <v>4050</v>
      </c>
      <c r="H109" s="2">
        <v>10476</v>
      </c>
      <c r="I109" s="2">
        <v>1000</v>
      </c>
      <c r="J109" s="2"/>
      <c r="K109" s="2">
        <v>500</v>
      </c>
      <c r="L109" s="2">
        <v>1750</v>
      </c>
      <c r="M109" s="22">
        <v>525</v>
      </c>
      <c r="N109" s="42">
        <v>3450</v>
      </c>
      <c r="O109" s="42">
        <v>700</v>
      </c>
      <c r="P109" s="42">
        <v>500</v>
      </c>
      <c r="Q109" s="42">
        <v>800</v>
      </c>
      <c r="R109" s="39">
        <v>3600</v>
      </c>
      <c r="S109" s="41">
        <v>450</v>
      </c>
      <c r="T109" s="41">
        <v>2200</v>
      </c>
      <c r="U109" s="16">
        <f t="shared" si="12"/>
        <v>1750</v>
      </c>
      <c r="V109" s="45">
        <f t="shared" si="11"/>
        <v>3.8888888888888888</v>
      </c>
    </row>
    <row r="110" spans="1:22" x14ac:dyDescent="0.2">
      <c r="A110" s="3">
        <v>701401</v>
      </c>
      <c r="B110" s="3" t="s">
        <v>463</v>
      </c>
      <c r="C110" s="1"/>
      <c r="D110" s="1"/>
      <c r="E110" s="2"/>
      <c r="F110" s="2"/>
      <c r="G110" s="2"/>
      <c r="H110" s="2"/>
      <c r="I110" s="2"/>
      <c r="J110" s="2"/>
      <c r="K110" s="2"/>
      <c r="L110" s="2"/>
      <c r="M110" s="22"/>
      <c r="N110" s="42"/>
      <c r="O110" s="42"/>
      <c r="P110" s="42"/>
      <c r="Q110" s="42"/>
      <c r="R110" s="39">
        <v>1900</v>
      </c>
      <c r="S110" s="39"/>
      <c r="T110" s="39"/>
      <c r="U110" s="16">
        <f t="shared" si="12"/>
        <v>0</v>
      </c>
      <c r="V110" s="45" t="e">
        <f t="shared" si="11"/>
        <v>#DIV/0!</v>
      </c>
    </row>
    <row r="111" spans="1:22" x14ac:dyDescent="0.2">
      <c r="A111" s="3">
        <v>701406</v>
      </c>
      <c r="B111" s="3" t="s">
        <v>345</v>
      </c>
      <c r="C111" s="1">
        <v>721150</v>
      </c>
      <c r="D111" s="1" t="s">
        <v>87</v>
      </c>
      <c r="E111" s="2">
        <v>13135.5</v>
      </c>
      <c r="F111" s="2">
        <v>12820</v>
      </c>
      <c r="G111" s="2">
        <v>19997.09</v>
      </c>
      <c r="H111" s="2">
        <v>19738.48</v>
      </c>
      <c r="I111" s="2">
        <v>10038</v>
      </c>
      <c r="J111" s="2">
        <v>3500</v>
      </c>
      <c r="K111" s="2">
        <v>13022</v>
      </c>
      <c r="L111" s="2">
        <v>8400</v>
      </c>
      <c r="M111" s="22">
        <v>4200</v>
      </c>
      <c r="N111" s="42">
        <v>1407</v>
      </c>
      <c r="O111" s="42">
        <v>8662.119999999999</v>
      </c>
      <c r="P111" s="42">
        <v>5960</v>
      </c>
      <c r="Q111" s="42">
        <v>19016</v>
      </c>
      <c r="R111" s="39">
        <v>200</v>
      </c>
      <c r="S111" s="41">
        <v>2804</v>
      </c>
      <c r="T111" s="41">
        <v>1078</v>
      </c>
      <c r="U111" s="16">
        <f t="shared" si="12"/>
        <v>-1726</v>
      </c>
      <c r="V111" s="45">
        <f t="shared" si="11"/>
        <v>-0.61554921540656204</v>
      </c>
    </row>
    <row r="112" spans="1:22" x14ac:dyDescent="0.2">
      <c r="A112" s="3">
        <v>701405</v>
      </c>
      <c r="B112" s="3" t="s">
        <v>344</v>
      </c>
      <c r="C112" s="1">
        <v>721160</v>
      </c>
      <c r="D112" s="1" t="s">
        <v>88</v>
      </c>
      <c r="E112" s="2"/>
      <c r="F112" s="2"/>
      <c r="G112" s="2"/>
      <c r="H112" s="2"/>
      <c r="I112" s="2"/>
      <c r="J112" s="2">
        <v>-424</v>
      </c>
      <c r="K112" s="2">
        <v>3590.87</v>
      </c>
      <c r="L112" s="2">
        <v>445</v>
      </c>
      <c r="M112" s="22">
        <v>10350.219999999999</v>
      </c>
      <c r="N112" s="42">
        <v>325</v>
      </c>
      <c r="O112" s="42">
        <v>1803</v>
      </c>
      <c r="P112" s="42"/>
      <c r="Q112" s="42"/>
      <c r="R112" s="42"/>
      <c r="S112" s="41"/>
      <c r="T112" s="41"/>
      <c r="U112" s="16">
        <f t="shared" si="12"/>
        <v>0</v>
      </c>
      <c r="V112" s="45" t="e">
        <f t="shared" si="11"/>
        <v>#DIV/0!</v>
      </c>
    </row>
    <row r="113" spans="1:22" x14ac:dyDescent="0.2">
      <c r="A113" s="3">
        <v>701500</v>
      </c>
      <c r="B113" s="3" t="s">
        <v>346</v>
      </c>
      <c r="C113" s="1">
        <v>722100</v>
      </c>
      <c r="D113" s="1" t="s">
        <v>89</v>
      </c>
      <c r="E113" s="2">
        <v>25455.820000000003</v>
      </c>
      <c r="F113" s="2">
        <v>31017.24</v>
      </c>
      <c r="G113" s="2">
        <v>23404.15</v>
      </c>
      <c r="H113" s="2">
        <v>29519.839999999997</v>
      </c>
      <c r="I113" s="2">
        <v>29651.48</v>
      </c>
      <c r="J113" s="2">
        <v>22098.92</v>
      </c>
      <c r="K113" s="2">
        <v>28906.460000000003</v>
      </c>
      <c r="L113" s="2">
        <v>32239.64</v>
      </c>
      <c r="M113" s="22">
        <v>32563.360000000004</v>
      </c>
      <c r="N113" s="42">
        <v>35136.770000000004</v>
      </c>
      <c r="O113" s="42">
        <v>27903.980000000003</v>
      </c>
      <c r="P113" s="42">
        <v>21116.55</v>
      </c>
      <c r="Q113" s="42">
        <v>33121.440000000002</v>
      </c>
      <c r="R113" s="39">
        <v>52230.33</v>
      </c>
      <c r="S113" s="41">
        <v>36431.050000000003</v>
      </c>
      <c r="T113" s="41">
        <v>23269.690000000002</v>
      </c>
      <c r="U113" s="16">
        <f t="shared" si="12"/>
        <v>-13161.36</v>
      </c>
      <c r="V113" s="45">
        <f t="shared" si="11"/>
        <v>-0.36126765492622365</v>
      </c>
    </row>
    <row r="114" spans="1:22" x14ac:dyDescent="0.2">
      <c r="A114" s="3">
        <v>701501</v>
      </c>
      <c r="B114" s="3" t="s">
        <v>90</v>
      </c>
      <c r="C114" s="1">
        <v>722105</v>
      </c>
      <c r="D114" s="1" t="s">
        <v>90</v>
      </c>
      <c r="E114" s="2">
        <v>1057.46</v>
      </c>
      <c r="F114" s="2">
        <v>527.47</v>
      </c>
      <c r="G114" s="2">
        <v>117.5</v>
      </c>
      <c r="H114" s="2"/>
      <c r="I114" s="2"/>
      <c r="J114" s="2">
        <v>800</v>
      </c>
      <c r="K114" s="2">
        <v>80</v>
      </c>
      <c r="L114" s="2">
        <v>504</v>
      </c>
      <c r="M114" s="22"/>
      <c r="N114" s="43"/>
      <c r="O114" s="42"/>
      <c r="P114" s="42">
        <v>126.64</v>
      </c>
      <c r="Q114" s="42">
        <v>8375.41</v>
      </c>
      <c r="R114" s="39">
        <v>1789.55</v>
      </c>
      <c r="S114" s="41">
        <v>1750</v>
      </c>
      <c r="T114" s="41">
        <v>5846.08</v>
      </c>
      <c r="U114" s="16">
        <f t="shared" si="12"/>
        <v>4096.08</v>
      </c>
      <c r="V114" s="45">
        <f t="shared" si="11"/>
        <v>2.340617142857143</v>
      </c>
    </row>
    <row r="115" spans="1:22" x14ac:dyDescent="0.2">
      <c r="A115" s="3">
        <v>701502</v>
      </c>
      <c r="B115" s="3" t="s">
        <v>91</v>
      </c>
      <c r="C115" s="1">
        <v>722110</v>
      </c>
      <c r="D115" s="1" t="s">
        <v>91</v>
      </c>
      <c r="E115" s="2">
        <v>40</v>
      </c>
      <c r="F115" s="2"/>
      <c r="G115" s="2"/>
      <c r="H115" s="2"/>
      <c r="I115" s="2"/>
      <c r="J115" s="2"/>
      <c r="K115" s="2"/>
      <c r="L115" s="2">
        <v>375</v>
      </c>
      <c r="M115" s="22">
        <v>-603.49</v>
      </c>
      <c r="N115" s="42">
        <v>1230</v>
      </c>
      <c r="O115" s="42">
        <v>-118</v>
      </c>
      <c r="P115" s="42">
        <v>24</v>
      </c>
      <c r="Q115" s="42">
        <v>24</v>
      </c>
      <c r="R115" s="39">
        <v>24</v>
      </c>
      <c r="S115" s="41">
        <v>24</v>
      </c>
      <c r="T115" s="41">
        <v>22</v>
      </c>
      <c r="U115" s="16">
        <f t="shared" si="12"/>
        <v>-2</v>
      </c>
      <c r="V115" s="45">
        <f t="shared" si="11"/>
        <v>-8.3333333333333329E-2</v>
      </c>
    </row>
    <row r="116" spans="1:22" x14ac:dyDescent="0.2">
      <c r="A116" s="3">
        <v>701600</v>
      </c>
      <c r="B116" s="3" t="s">
        <v>92</v>
      </c>
      <c r="C116" s="1">
        <v>723100</v>
      </c>
      <c r="D116" s="1" t="s">
        <v>92</v>
      </c>
      <c r="E116" s="2"/>
      <c r="F116" s="2"/>
      <c r="G116" s="2"/>
      <c r="H116" s="2">
        <v>27</v>
      </c>
      <c r="I116" s="2">
        <v>9</v>
      </c>
      <c r="J116" s="2"/>
      <c r="K116" s="2"/>
      <c r="L116" s="2"/>
      <c r="M116" s="22"/>
      <c r="N116" s="43"/>
      <c r="O116" s="42"/>
      <c r="P116" s="42"/>
      <c r="Q116" s="42"/>
      <c r="R116" s="42"/>
      <c r="S116" s="41">
        <v>25</v>
      </c>
      <c r="T116" s="41">
        <v>50</v>
      </c>
      <c r="U116" s="16">
        <f t="shared" si="12"/>
        <v>25</v>
      </c>
      <c r="V116" s="45">
        <f t="shared" si="11"/>
        <v>1</v>
      </c>
    </row>
    <row r="117" spans="1:22" x14ac:dyDescent="0.2">
      <c r="A117" s="3">
        <v>701602</v>
      </c>
      <c r="B117" s="3" t="s">
        <v>93</v>
      </c>
      <c r="C117" s="1">
        <v>723120</v>
      </c>
      <c r="D117" s="1" t="s">
        <v>93</v>
      </c>
      <c r="E117" s="2"/>
      <c r="F117" s="2">
        <v>3100</v>
      </c>
      <c r="G117" s="2"/>
      <c r="H117" s="2"/>
      <c r="I117" s="2"/>
      <c r="J117" s="2"/>
      <c r="K117" s="2"/>
      <c r="L117" s="2"/>
      <c r="M117" s="22"/>
      <c r="N117" s="43"/>
      <c r="O117" s="42"/>
      <c r="P117" s="42"/>
      <c r="Q117" s="42"/>
      <c r="R117" s="42"/>
      <c r="S117" s="42"/>
      <c r="T117" s="42"/>
      <c r="U117" s="16">
        <f t="shared" si="12"/>
        <v>0</v>
      </c>
      <c r="V117" s="45" t="e">
        <f t="shared" si="11"/>
        <v>#DIV/0!</v>
      </c>
    </row>
    <row r="118" spans="1:22" x14ac:dyDescent="0.2">
      <c r="A118" s="3">
        <v>701603</v>
      </c>
      <c r="B118" s="3" t="s">
        <v>94</v>
      </c>
      <c r="C118" s="1">
        <v>723130</v>
      </c>
      <c r="D118" s="1" t="s">
        <v>94</v>
      </c>
      <c r="E118" s="2">
        <v>9809.2000000000007</v>
      </c>
      <c r="F118" s="2">
        <v>19967.82</v>
      </c>
      <c r="G118" s="2">
        <v>47013.56</v>
      </c>
      <c r="H118" s="2">
        <v>24206.399999999998</v>
      </c>
      <c r="I118" s="2">
        <v>32994.589999999997</v>
      </c>
      <c r="J118" s="2">
        <v>33083.520000000004</v>
      </c>
      <c r="K118" s="2">
        <v>42481.5</v>
      </c>
      <c r="L118" s="2">
        <v>28036.47</v>
      </c>
      <c r="M118" s="22">
        <v>57065.49</v>
      </c>
      <c r="N118" s="42">
        <v>19730.410000000003</v>
      </c>
      <c r="O118" s="42">
        <v>40249.879999999997</v>
      </c>
      <c r="P118" s="42">
        <v>63605.19</v>
      </c>
      <c r="Q118" s="42">
        <v>27136.32</v>
      </c>
      <c r="R118" s="39">
        <v>46617.37</v>
      </c>
      <c r="S118" s="41">
        <v>59725.16</v>
      </c>
      <c r="T118" s="41">
        <v>7215.7</v>
      </c>
      <c r="U118" s="16">
        <f t="shared" si="12"/>
        <v>-52509.460000000006</v>
      </c>
      <c r="V118" s="45">
        <f t="shared" si="11"/>
        <v>-0.87918491972227453</v>
      </c>
    </row>
    <row r="119" spans="1:22" x14ac:dyDescent="0.2">
      <c r="A119" s="3">
        <v>705101</v>
      </c>
      <c r="B119" s="3" t="s">
        <v>361</v>
      </c>
      <c r="C119" s="1">
        <v>731105</v>
      </c>
      <c r="D119" s="1" t="s">
        <v>189</v>
      </c>
      <c r="E119" s="2"/>
      <c r="F119" s="2"/>
      <c r="G119" s="2"/>
      <c r="H119" s="2"/>
      <c r="I119" s="2"/>
      <c r="J119" s="2"/>
      <c r="K119" s="2"/>
      <c r="L119" s="2"/>
      <c r="M119" s="22"/>
      <c r="N119" s="42">
        <v>-28.88</v>
      </c>
      <c r="O119" s="42"/>
      <c r="P119" s="42"/>
      <c r="Q119" s="42"/>
      <c r="R119" s="42"/>
      <c r="S119" s="42"/>
      <c r="T119" s="42"/>
      <c r="U119" s="16">
        <f t="shared" si="12"/>
        <v>0</v>
      </c>
      <c r="V119" s="45" t="e">
        <f t="shared" si="11"/>
        <v>#DIV/0!</v>
      </c>
    </row>
    <row r="120" spans="1:22" x14ac:dyDescent="0.2">
      <c r="A120" s="3">
        <v>705102</v>
      </c>
      <c r="B120" s="3" t="s">
        <v>362</v>
      </c>
      <c r="C120" s="1">
        <v>731205</v>
      </c>
      <c r="D120" s="1" t="s">
        <v>95</v>
      </c>
      <c r="E120" s="2">
        <v>100</v>
      </c>
      <c r="F120" s="2"/>
      <c r="G120" s="2"/>
      <c r="H120" s="2"/>
      <c r="I120" s="2"/>
      <c r="J120" s="2"/>
      <c r="K120" s="2"/>
      <c r="L120" s="2"/>
      <c r="M120" s="22"/>
      <c r="O120" s="42"/>
      <c r="P120" s="42"/>
      <c r="Q120" s="42"/>
      <c r="R120" s="42"/>
      <c r="S120" s="42"/>
      <c r="T120" s="42"/>
      <c r="U120" s="16">
        <f t="shared" si="12"/>
        <v>0</v>
      </c>
      <c r="V120" s="45" t="e">
        <f t="shared" si="11"/>
        <v>#DIV/0!</v>
      </c>
    </row>
    <row r="121" spans="1:22" x14ac:dyDescent="0.2">
      <c r="A121" s="3">
        <v>705000</v>
      </c>
      <c r="B121" s="3" t="s">
        <v>356</v>
      </c>
      <c r="C121" s="1">
        <v>732100</v>
      </c>
      <c r="D121" s="1" t="s">
        <v>96</v>
      </c>
      <c r="E121" s="2">
        <v>2739.9099999999994</v>
      </c>
      <c r="F121" s="2">
        <v>4733.0999999999995</v>
      </c>
      <c r="G121" s="2">
        <v>2907.4500000000003</v>
      </c>
      <c r="H121" s="2">
        <v>5130.75</v>
      </c>
      <c r="I121" s="2">
        <v>3061.23</v>
      </c>
      <c r="J121" s="2">
        <v>4953.6400000000003</v>
      </c>
      <c r="K121" s="2">
        <v>5685.41</v>
      </c>
      <c r="L121" s="2">
        <v>703.88</v>
      </c>
      <c r="M121" s="22">
        <v>7562.93</v>
      </c>
      <c r="N121" s="42">
        <v>1170.49</v>
      </c>
      <c r="O121" s="42">
        <v>676.68000000000006</v>
      </c>
      <c r="P121" s="42">
        <v>1700.8000000000002</v>
      </c>
      <c r="Q121" s="42">
        <v>1588.45</v>
      </c>
      <c r="R121" s="39">
        <v>989.47</v>
      </c>
      <c r="S121" s="41">
        <v>440.92999999999995</v>
      </c>
      <c r="T121" s="41">
        <v>1121.6399999999999</v>
      </c>
      <c r="U121" s="16">
        <f t="shared" si="12"/>
        <v>680.70999999999992</v>
      </c>
      <c r="V121" s="45">
        <f t="shared" si="11"/>
        <v>1.5438051391377317</v>
      </c>
    </row>
    <row r="122" spans="1:22" x14ac:dyDescent="0.2">
      <c r="A122" s="3">
        <v>705100</v>
      </c>
      <c r="B122" s="3" t="s">
        <v>360</v>
      </c>
      <c r="C122" s="1">
        <v>732105</v>
      </c>
      <c r="D122" s="1" t="s">
        <v>97</v>
      </c>
      <c r="E122" s="2">
        <v>30900.820000000003</v>
      </c>
      <c r="F122" s="2">
        <v>87519.21</v>
      </c>
      <c r="G122" s="2">
        <v>126323.08999999998</v>
      </c>
      <c r="H122" s="2">
        <v>83453.600000000006</v>
      </c>
      <c r="I122" s="2">
        <v>63438.04</v>
      </c>
      <c r="J122" s="2">
        <v>44759.439999999995</v>
      </c>
      <c r="K122" s="2">
        <v>83557.429999999993</v>
      </c>
      <c r="L122" s="2">
        <v>68193.320000000007</v>
      </c>
      <c r="M122" s="22">
        <v>44153.740000000005</v>
      </c>
      <c r="N122" s="42">
        <v>36425.81</v>
      </c>
      <c r="O122" s="42">
        <v>39797.519999999982</v>
      </c>
      <c r="P122" s="42">
        <v>22845.500000000004</v>
      </c>
      <c r="Q122" s="42">
        <v>28121.35</v>
      </c>
      <c r="R122" s="39">
        <v>56663.23000000001</v>
      </c>
      <c r="S122" s="41">
        <v>18726.190000000002</v>
      </c>
      <c r="T122" s="41">
        <v>-341.40000000000003</v>
      </c>
      <c r="U122" s="16">
        <f t="shared" si="12"/>
        <v>-19067.590000000004</v>
      </c>
      <c r="V122" s="45">
        <f t="shared" si="11"/>
        <v>-1.0182311511311164</v>
      </c>
    </row>
    <row r="123" spans="1:22" x14ac:dyDescent="0.2">
      <c r="A123" s="3">
        <v>705300</v>
      </c>
      <c r="B123" s="3" t="s">
        <v>98</v>
      </c>
      <c r="C123" s="1">
        <v>732110</v>
      </c>
      <c r="D123" s="1" t="s">
        <v>98</v>
      </c>
      <c r="E123" s="2">
        <v>23755.73</v>
      </c>
      <c r="F123" s="2">
        <v>26046.030000000002</v>
      </c>
      <c r="G123" s="2">
        <v>47395.71</v>
      </c>
      <c r="H123" s="2">
        <v>42224.189999999995</v>
      </c>
      <c r="I123" s="2">
        <v>17114.16</v>
      </c>
      <c r="J123" s="2">
        <v>1531.4</v>
      </c>
      <c r="K123" s="2">
        <v>17930.02</v>
      </c>
      <c r="L123" s="2">
        <v>8414.31</v>
      </c>
      <c r="M123" s="22">
        <v>4676.68</v>
      </c>
      <c r="N123" s="42">
        <v>8133.15</v>
      </c>
      <c r="O123" s="42">
        <v>6549.8099999999995</v>
      </c>
      <c r="P123" s="42">
        <v>2530.8500000000004</v>
      </c>
      <c r="Q123" s="42">
        <v>5902.52</v>
      </c>
      <c r="R123" s="39">
        <v>9094.64</v>
      </c>
      <c r="S123" s="41">
        <v>-146.08000000000001</v>
      </c>
      <c r="T123" s="41"/>
      <c r="U123" s="16">
        <f t="shared" si="12"/>
        <v>146.08000000000001</v>
      </c>
      <c r="V123" s="45">
        <f t="shared" si="11"/>
        <v>-1</v>
      </c>
    </row>
    <row r="124" spans="1:22" x14ac:dyDescent="0.2">
      <c r="A124" s="3">
        <v>705500</v>
      </c>
      <c r="B124" s="3" t="s">
        <v>363</v>
      </c>
      <c r="C124" s="1">
        <v>732115</v>
      </c>
      <c r="D124" s="1" t="s">
        <v>99</v>
      </c>
      <c r="E124" s="2"/>
      <c r="F124" s="2">
        <v>350.56</v>
      </c>
      <c r="G124" s="2">
        <v>168.44</v>
      </c>
      <c r="H124" s="2">
        <v>4.76</v>
      </c>
      <c r="I124" s="2"/>
      <c r="J124" s="2"/>
      <c r="K124" s="2">
        <v>736.38</v>
      </c>
      <c r="L124" s="2">
        <v>87.36</v>
      </c>
      <c r="M124" s="22">
        <v>38.340000000000003</v>
      </c>
      <c r="N124" s="47"/>
      <c r="O124" s="42">
        <v>248.09</v>
      </c>
      <c r="P124" s="42">
        <v>450.8</v>
      </c>
      <c r="Q124" s="42">
        <v>562.42999999999995</v>
      </c>
      <c r="R124" s="39">
        <v>445.38</v>
      </c>
      <c r="S124" s="39"/>
      <c r="T124" s="39"/>
      <c r="U124" s="16">
        <f t="shared" si="12"/>
        <v>0</v>
      </c>
      <c r="V124" s="45" t="e">
        <f t="shared" si="11"/>
        <v>#DIV/0!</v>
      </c>
    </row>
    <row r="125" spans="1:22" x14ac:dyDescent="0.2">
      <c r="A125" s="3">
        <v>705003</v>
      </c>
      <c r="B125" s="3" t="s">
        <v>359</v>
      </c>
      <c r="C125" s="1">
        <v>732200</v>
      </c>
      <c r="D125" s="1" t="s">
        <v>100</v>
      </c>
      <c r="E125" s="2"/>
      <c r="F125" s="2"/>
      <c r="G125" s="2">
        <v>72</v>
      </c>
      <c r="H125" s="2">
        <v>6584</v>
      </c>
      <c r="I125" s="2">
        <v>4495</v>
      </c>
      <c r="J125" s="2">
        <v>7570</v>
      </c>
      <c r="K125" s="2">
        <v>8024</v>
      </c>
      <c r="L125" s="2">
        <v>8371.75</v>
      </c>
      <c r="M125" s="22">
        <v>10459</v>
      </c>
      <c r="N125" s="42">
        <v>7659</v>
      </c>
      <c r="O125" s="42">
        <v>8984</v>
      </c>
      <c r="P125" s="42">
        <v>11945</v>
      </c>
      <c r="Q125" s="42">
        <v>9295</v>
      </c>
      <c r="R125" s="39">
        <v>6645</v>
      </c>
      <c r="S125" s="41">
        <v>4825</v>
      </c>
      <c r="T125" s="41"/>
      <c r="U125" s="16">
        <f t="shared" si="12"/>
        <v>-4825</v>
      </c>
      <c r="V125" s="45">
        <f t="shared" si="11"/>
        <v>-1</v>
      </c>
    </row>
    <row r="126" spans="1:22" x14ac:dyDescent="0.2">
      <c r="A126" s="3">
        <v>705103</v>
      </c>
      <c r="B126" s="3" t="s">
        <v>440</v>
      </c>
      <c r="C126" s="1">
        <v>732205</v>
      </c>
      <c r="D126" s="1" t="s">
        <v>101</v>
      </c>
      <c r="E126" s="2"/>
      <c r="F126" s="2"/>
      <c r="G126" s="2"/>
      <c r="H126" s="2"/>
      <c r="I126" s="2"/>
      <c r="J126" s="2"/>
      <c r="K126" s="2"/>
      <c r="L126" s="2">
        <v>1350</v>
      </c>
      <c r="M126" s="22"/>
      <c r="O126" s="22"/>
      <c r="P126" s="22"/>
      <c r="Q126" s="22"/>
      <c r="R126" s="22"/>
      <c r="S126" s="22"/>
      <c r="T126" s="22"/>
      <c r="U126" s="16">
        <f t="shared" si="12"/>
        <v>0</v>
      </c>
      <c r="V126" s="45" t="e">
        <f t="shared" si="11"/>
        <v>#DIV/0!</v>
      </c>
    </row>
    <row r="127" spans="1:22" x14ac:dyDescent="0.2">
      <c r="A127" s="3">
        <v>705801</v>
      </c>
      <c r="B127" s="3" t="s">
        <v>365</v>
      </c>
      <c r="C127" s="1">
        <v>732210</v>
      </c>
      <c r="D127" s="1" t="s">
        <v>102</v>
      </c>
      <c r="E127" s="2"/>
      <c r="F127" s="2"/>
      <c r="G127" s="2">
        <v>5000</v>
      </c>
      <c r="H127" s="2"/>
      <c r="I127" s="2"/>
      <c r="J127" s="2"/>
      <c r="K127" s="2"/>
      <c r="L127" s="2"/>
      <c r="M127" s="22"/>
      <c r="N127" s="22"/>
      <c r="O127" s="22"/>
      <c r="P127" s="22"/>
      <c r="Q127" s="22"/>
      <c r="R127" s="22"/>
      <c r="S127" s="22"/>
      <c r="T127" s="22"/>
      <c r="U127" s="16">
        <f t="shared" si="12"/>
        <v>0</v>
      </c>
      <c r="V127" s="45" t="e">
        <f t="shared" si="11"/>
        <v>#DIV/0!</v>
      </c>
    </row>
    <row r="128" spans="1:22" x14ac:dyDescent="0.2">
      <c r="A128" s="3">
        <v>705003</v>
      </c>
      <c r="B128" s="3" t="s">
        <v>359</v>
      </c>
      <c r="C128" s="1">
        <v>732215</v>
      </c>
      <c r="D128" s="1" t="s">
        <v>103</v>
      </c>
      <c r="E128" s="2"/>
      <c r="F128" s="2">
        <v>143</v>
      </c>
      <c r="G128" s="2">
        <v>48</v>
      </c>
      <c r="H128" s="2"/>
      <c r="I128" s="2"/>
      <c r="J128" s="2"/>
      <c r="K128" s="2">
        <v>1499</v>
      </c>
      <c r="L128" s="2"/>
      <c r="M128" s="22"/>
      <c r="N128" s="22"/>
      <c r="O128" s="22"/>
      <c r="P128" s="22"/>
      <c r="Q128" s="22"/>
      <c r="R128" s="22"/>
      <c r="S128" s="22"/>
      <c r="T128" s="22"/>
      <c r="U128" s="16">
        <f t="shared" si="12"/>
        <v>0</v>
      </c>
      <c r="V128" s="45" t="e">
        <f t="shared" si="11"/>
        <v>#DIV/0!</v>
      </c>
    </row>
    <row r="129" spans="1:22" x14ac:dyDescent="0.2">
      <c r="A129" s="3">
        <v>705300</v>
      </c>
      <c r="B129" s="3" t="s">
        <v>98</v>
      </c>
      <c r="C129" s="1">
        <v>732225</v>
      </c>
      <c r="D129" s="1" t="s">
        <v>104</v>
      </c>
      <c r="E129" s="2"/>
      <c r="F129" s="2"/>
      <c r="G129" s="2"/>
      <c r="H129" s="2">
        <v>2632</v>
      </c>
      <c r="I129" s="2"/>
      <c r="J129" s="2"/>
      <c r="K129" s="2"/>
      <c r="L129" s="2"/>
      <c r="M129" s="22"/>
      <c r="N129" s="22"/>
      <c r="O129" s="22"/>
      <c r="P129" s="22"/>
      <c r="Q129" s="22"/>
      <c r="R129" s="22"/>
      <c r="S129" s="22"/>
      <c r="T129" s="22"/>
      <c r="U129" s="16">
        <f t="shared" si="12"/>
        <v>0</v>
      </c>
      <c r="V129" s="45" t="e">
        <f t="shared" si="11"/>
        <v>#DIV/0!</v>
      </c>
    </row>
    <row r="130" spans="1:22" x14ac:dyDescent="0.2">
      <c r="A130" s="72">
        <v>705600</v>
      </c>
      <c r="B130" s="107" t="s">
        <v>496</v>
      </c>
      <c r="C130" s="1"/>
      <c r="D130" s="1"/>
      <c r="E130" s="2"/>
      <c r="F130" s="2"/>
      <c r="G130" s="2"/>
      <c r="H130" s="2"/>
      <c r="I130" s="2"/>
      <c r="J130" s="2"/>
      <c r="K130" s="2"/>
      <c r="L130" s="2"/>
      <c r="M130" s="22"/>
      <c r="N130" s="22"/>
      <c r="O130" s="22"/>
      <c r="P130" s="22"/>
      <c r="Q130" s="22"/>
      <c r="R130" s="22"/>
      <c r="S130" s="22"/>
      <c r="T130" s="22">
        <v>8468.25</v>
      </c>
      <c r="U130" s="16">
        <f t="shared" si="12"/>
        <v>8468.25</v>
      </c>
      <c r="V130" s="45" t="e">
        <f t="shared" si="11"/>
        <v>#DIV/0!</v>
      </c>
    </row>
    <row r="131" spans="1:22" x14ac:dyDescent="0.2">
      <c r="A131" s="3">
        <v>705800</v>
      </c>
      <c r="B131" s="3" t="s">
        <v>364</v>
      </c>
      <c r="C131" s="1">
        <v>732300</v>
      </c>
      <c r="D131" s="1" t="s">
        <v>105</v>
      </c>
      <c r="E131" s="2"/>
      <c r="F131" s="2">
        <v>3629.87</v>
      </c>
      <c r="G131" s="2">
        <v>1581.98</v>
      </c>
      <c r="H131" s="2">
        <v>1245.07</v>
      </c>
      <c r="I131" s="2"/>
      <c r="J131" s="2">
        <v>122.5</v>
      </c>
      <c r="K131" s="2"/>
      <c r="L131" s="2"/>
      <c r="M131" s="22">
        <v>2982.75</v>
      </c>
      <c r="N131" s="22"/>
      <c r="O131" s="42">
        <v>395.95</v>
      </c>
      <c r="P131" s="42"/>
      <c r="Q131" s="42"/>
      <c r="R131" s="39">
        <v>2611.94</v>
      </c>
      <c r="S131" s="41">
        <v>236.09</v>
      </c>
      <c r="T131" s="41"/>
      <c r="U131" s="16">
        <f t="shared" si="12"/>
        <v>-236.09</v>
      </c>
      <c r="V131" s="45">
        <f t="shared" si="11"/>
        <v>-1</v>
      </c>
    </row>
    <row r="132" spans="1:22" x14ac:dyDescent="0.2">
      <c r="A132" s="3">
        <v>706007</v>
      </c>
      <c r="B132" s="3" t="s">
        <v>371</v>
      </c>
      <c r="C132" s="1">
        <v>741100</v>
      </c>
      <c r="D132" s="1" t="s">
        <v>106</v>
      </c>
      <c r="E132" s="2"/>
      <c r="F132" s="2"/>
      <c r="G132" s="2"/>
      <c r="H132" s="2"/>
      <c r="I132" s="2">
        <v>-1231.74</v>
      </c>
      <c r="J132" s="2"/>
      <c r="K132" s="2"/>
      <c r="L132" s="2"/>
      <c r="M132" s="22"/>
      <c r="N132" s="22"/>
      <c r="O132" s="22"/>
      <c r="P132" s="22"/>
      <c r="Q132" s="22"/>
      <c r="R132" s="22"/>
      <c r="S132" s="22"/>
      <c r="T132" s="22"/>
      <c r="U132" s="16">
        <f t="shared" si="12"/>
        <v>0</v>
      </c>
      <c r="V132" s="45" t="e">
        <f t="shared" si="11"/>
        <v>#DIV/0!</v>
      </c>
    </row>
    <row r="133" spans="1:22" x14ac:dyDescent="0.2">
      <c r="A133" s="3">
        <v>706602</v>
      </c>
      <c r="B133" s="3" t="s">
        <v>388</v>
      </c>
      <c r="C133" s="57">
        <v>741105</v>
      </c>
      <c r="D133" s="57" t="s">
        <v>268</v>
      </c>
      <c r="E133" s="2"/>
      <c r="F133" s="2"/>
      <c r="G133" s="2"/>
      <c r="H133" s="2"/>
      <c r="I133" s="2"/>
      <c r="J133" s="2"/>
      <c r="K133" s="2"/>
      <c r="L133" s="2"/>
      <c r="M133" s="22"/>
      <c r="N133" s="22"/>
      <c r="O133" s="22"/>
      <c r="P133" s="22"/>
      <c r="Q133" s="22"/>
      <c r="R133" s="22"/>
      <c r="S133" s="22"/>
      <c r="T133" s="22"/>
      <c r="U133" s="16">
        <f t="shared" si="12"/>
        <v>0</v>
      </c>
      <c r="V133" s="45" t="e">
        <f t="shared" si="11"/>
        <v>#DIV/0!</v>
      </c>
    </row>
    <row r="134" spans="1:22" x14ac:dyDescent="0.2">
      <c r="A134" s="3">
        <v>706000</v>
      </c>
      <c r="B134" s="3" t="s">
        <v>366</v>
      </c>
      <c r="C134" s="1">
        <v>741110</v>
      </c>
      <c r="D134" s="1" t="s">
        <v>107</v>
      </c>
      <c r="E134" s="2"/>
      <c r="F134" s="2">
        <v>-46.160000000000004</v>
      </c>
      <c r="G134" s="2">
        <v>3334.6200000000003</v>
      </c>
      <c r="H134" s="2">
        <v>2290.8900000000003</v>
      </c>
      <c r="I134" s="2">
        <v>301.59000000000003</v>
      </c>
      <c r="J134" s="2"/>
      <c r="K134" s="2"/>
      <c r="L134" s="2"/>
      <c r="M134" s="22"/>
      <c r="N134" s="22"/>
      <c r="O134" s="22"/>
      <c r="P134" s="22"/>
      <c r="Q134" s="22"/>
      <c r="R134" s="39">
        <v>51</v>
      </c>
      <c r="S134" s="39"/>
      <c r="T134" s="39"/>
      <c r="U134" s="16">
        <f t="shared" si="12"/>
        <v>0</v>
      </c>
      <c r="V134" s="45" t="e">
        <f t="shared" si="11"/>
        <v>#DIV/0!</v>
      </c>
    </row>
    <row r="135" spans="1:22" x14ac:dyDescent="0.2">
      <c r="A135" s="3">
        <v>706001</v>
      </c>
      <c r="B135" s="3" t="s">
        <v>367</v>
      </c>
      <c r="C135" s="57">
        <v>741115</v>
      </c>
      <c r="D135" s="57" t="s">
        <v>269</v>
      </c>
      <c r="E135" s="2"/>
      <c r="F135" s="2"/>
      <c r="G135" s="2"/>
      <c r="H135" s="2"/>
      <c r="I135" s="2"/>
      <c r="J135" s="2"/>
      <c r="K135" s="2"/>
      <c r="L135" s="2"/>
      <c r="M135" s="22"/>
      <c r="N135" s="22"/>
      <c r="O135" s="22"/>
      <c r="P135" s="22"/>
      <c r="Q135" s="22"/>
      <c r="R135" s="22"/>
      <c r="S135" s="22"/>
      <c r="T135" s="22"/>
      <c r="U135" s="16">
        <f t="shared" si="12"/>
        <v>0</v>
      </c>
      <c r="V135" s="45" t="e">
        <f t="shared" si="11"/>
        <v>#DIV/0!</v>
      </c>
    </row>
    <row r="136" spans="1:22" x14ac:dyDescent="0.2">
      <c r="A136" s="3">
        <v>706005</v>
      </c>
      <c r="B136" s="3" t="s">
        <v>369</v>
      </c>
      <c r="C136" s="57">
        <v>741120</v>
      </c>
      <c r="D136" s="57" t="s">
        <v>270</v>
      </c>
      <c r="E136" s="2"/>
      <c r="F136" s="2"/>
      <c r="G136" s="2"/>
      <c r="H136" s="2"/>
      <c r="I136" s="2"/>
      <c r="J136" s="2"/>
      <c r="K136" s="2"/>
      <c r="L136" s="2"/>
      <c r="M136" s="22"/>
      <c r="N136" s="22"/>
      <c r="O136" s="22"/>
      <c r="P136" s="22"/>
      <c r="Q136" s="22"/>
      <c r="R136" s="22"/>
      <c r="S136" s="22"/>
      <c r="T136" s="22"/>
      <c r="U136" s="16">
        <f t="shared" si="12"/>
        <v>0</v>
      </c>
      <c r="V136" s="45" t="e">
        <f t="shared" si="11"/>
        <v>#DIV/0!</v>
      </c>
    </row>
    <row r="137" spans="1:22" x14ac:dyDescent="0.2">
      <c r="A137" s="3">
        <v>706006</v>
      </c>
      <c r="B137" s="3" t="s">
        <v>370</v>
      </c>
      <c r="C137" s="57">
        <v>741125</v>
      </c>
      <c r="D137" s="57" t="s">
        <v>271</v>
      </c>
      <c r="E137" s="2"/>
      <c r="F137" s="2"/>
      <c r="G137" s="2"/>
      <c r="H137" s="2"/>
      <c r="I137" s="2"/>
      <c r="J137" s="2"/>
      <c r="K137" s="2"/>
      <c r="L137" s="2"/>
      <c r="M137" s="22"/>
      <c r="N137" s="22"/>
      <c r="O137" s="22"/>
      <c r="P137" s="22"/>
      <c r="Q137" s="22"/>
      <c r="R137" s="22"/>
      <c r="S137" s="22"/>
      <c r="T137" s="22"/>
      <c r="U137" s="16">
        <f t="shared" si="12"/>
        <v>0</v>
      </c>
      <c r="V137" s="45" t="e">
        <f t="shared" si="11"/>
        <v>#DIV/0!</v>
      </c>
    </row>
    <row r="138" spans="1:22" x14ac:dyDescent="0.2">
      <c r="A138" s="3">
        <v>706003</v>
      </c>
      <c r="B138" s="3" t="s">
        <v>368</v>
      </c>
      <c r="C138" s="57">
        <v>742100</v>
      </c>
      <c r="D138" s="57" t="s">
        <v>295</v>
      </c>
      <c r="E138" s="2"/>
      <c r="F138" s="2"/>
      <c r="G138" s="2"/>
      <c r="H138" s="2"/>
      <c r="I138" s="2"/>
      <c r="J138" s="2"/>
      <c r="K138" s="2"/>
      <c r="L138" s="2"/>
      <c r="M138" s="22"/>
      <c r="N138" s="22"/>
      <c r="O138" s="22"/>
      <c r="P138" s="22"/>
      <c r="Q138" s="22"/>
      <c r="R138" s="22"/>
      <c r="S138" s="22"/>
      <c r="T138" s="22"/>
      <c r="U138" s="16">
        <f t="shared" si="12"/>
        <v>0</v>
      </c>
      <c r="V138" s="45" t="e">
        <f t="shared" si="11"/>
        <v>#DIV/0!</v>
      </c>
    </row>
    <row r="139" spans="1:22" x14ac:dyDescent="0.2">
      <c r="A139" s="3">
        <v>706002</v>
      </c>
      <c r="B139" s="3" t="s">
        <v>441</v>
      </c>
      <c r="C139" s="57">
        <v>742115</v>
      </c>
      <c r="D139" s="57" t="s">
        <v>296</v>
      </c>
      <c r="E139" s="2"/>
      <c r="F139" s="2"/>
      <c r="G139" s="2"/>
      <c r="H139" s="2"/>
      <c r="I139" s="2"/>
      <c r="J139" s="2"/>
      <c r="K139" s="2"/>
      <c r="L139" s="2"/>
      <c r="M139" s="22"/>
      <c r="N139" s="22"/>
      <c r="O139" s="22"/>
      <c r="P139" s="22"/>
      <c r="Q139" s="22"/>
      <c r="R139" s="22"/>
      <c r="S139" s="22"/>
      <c r="T139" s="22"/>
      <c r="U139" s="16">
        <f t="shared" si="12"/>
        <v>0</v>
      </c>
      <c r="V139" s="45" t="e">
        <f t="shared" si="11"/>
        <v>#DIV/0!</v>
      </c>
    </row>
    <row r="140" spans="1:22" x14ac:dyDescent="0.2">
      <c r="A140" s="3">
        <v>706100</v>
      </c>
      <c r="B140" s="3" t="s">
        <v>372</v>
      </c>
      <c r="C140" s="1">
        <v>742120</v>
      </c>
      <c r="D140" s="1" t="s">
        <v>108</v>
      </c>
      <c r="E140" s="2">
        <v>1146.1600000000001</v>
      </c>
      <c r="F140" s="2">
        <v>761.81000000000006</v>
      </c>
      <c r="G140" s="2">
        <v>3534.84</v>
      </c>
      <c r="H140" s="2">
        <v>398.40000000000003</v>
      </c>
      <c r="I140" s="2">
        <v>1687.63</v>
      </c>
      <c r="J140" s="2">
        <v>1097.9000000000001</v>
      </c>
      <c r="K140" s="2">
        <v>2053.3900000000003</v>
      </c>
      <c r="L140" s="2">
        <v>2048.75</v>
      </c>
      <c r="M140" s="22">
        <v>1121.93</v>
      </c>
      <c r="N140" s="42">
        <v>1008.11</v>
      </c>
      <c r="O140" s="42">
        <v>687.75</v>
      </c>
      <c r="P140" s="42">
        <v>258.48</v>
      </c>
      <c r="Q140" s="42">
        <v>257.37</v>
      </c>
      <c r="R140" s="39">
        <v>108.18</v>
      </c>
      <c r="S140" s="39"/>
      <c r="T140" s="39">
        <v>5.36</v>
      </c>
      <c r="U140" s="16">
        <f t="shared" si="12"/>
        <v>5.36</v>
      </c>
      <c r="V140" s="45" t="e">
        <f t="shared" si="11"/>
        <v>#DIV/0!</v>
      </c>
    </row>
    <row r="141" spans="1:22" x14ac:dyDescent="0.2">
      <c r="A141" s="3">
        <v>706101</v>
      </c>
      <c r="B141" s="3" t="s">
        <v>373</v>
      </c>
      <c r="C141" s="57">
        <v>742125</v>
      </c>
      <c r="D141" s="57" t="s">
        <v>285</v>
      </c>
      <c r="E141" s="2"/>
      <c r="F141" s="2"/>
      <c r="G141" s="2"/>
      <c r="H141" s="2"/>
      <c r="I141" s="2"/>
      <c r="J141" s="2"/>
      <c r="K141" s="2"/>
      <c r="L141" s="2"/>
      <c r="M141" s="22"/>
      <c r="N141" s="42"/>
      <c r="O141" s="42"/>
      <c r="P141" s="42"/>
      <c r="U141" s="16">
        <f t="shared" si="12"/>
        <v>0</v>
      </c>
      <c r="V141" s="45" t="e">
        <f t="shared" si="11"/>
        <v>#DIV/0!</v>
      </c>
    </row>
    <row r="142" spans="1:22" x14ac:dyDescent="0.2">
      <c r="A142" s="3">
        <v>706200</v>
      </c>
      <c r="B142" s="3" t="s">
        <v>374</v>
      </c>
      <c r="C142" s="1">
        <v>743100</v>
      </c>
      <c r="D142" s="1" t="s">
        <v>109</v>
      </c>
      <c r="E142" s="2">
        <v>3914.04</v>
      </c>
      <c r="F142" s="2">
        <v>577.45000000000005</v>
      </c>
      <c r="G142" s="2">
        <v>231.79</v>
      </c>
      <c r="H142" s="2">
        <v>2765.41</v>
      </c>
      <c r="I142" s="2">
        <v>75</v>
      </c>
      <c r="J142" s="2">
        <v>1643.3600000000001</v>
      </c>
      <c r="K142" s="2">
        <v>1692.7</v>
      </c>
      <c r="L142" s="2">
        <v>1041.95</v>
      </c>
      <c r="M142" s="22">
        <v>1039.4100000000001</v>
      </c>
      <c r="N142" s="42">
        <v>643.70000000000005</v>
      </c>
      <c r="O142" s="42">
        <v>954.05</v>
      </c>
      <c r="P142" s="42">
        <v>2710.81</v>
      </c>
      <c r="Q142" s="42">
        <v>3371.02</v>
      </c>
      <c r="R142" s="39">
        <v>5343.1100000000006</v>
      </c>
      <c r="S142" s="41">
        <v>1989.66</v>
      </c>
      <c r="T142" s="41">
        <v>839.48</v>
      </c>
      <c r="U142" s="16">
        <f t="shared" si="12"/>
        <v>-1150.18</v>
      </c>
      <c r="V142" s="45">
        <f t="shared" si="11"/>
        <v>-0.57807866670687458</v>
      </c>
    </row>
    <row r="143" spans="1:22" x14ac:dyDescent="0.2">
      <c r="A143" s="3">
        <v>706200</v>
      </c>
      <c r="B143" s="3" t="s">
        <v>374</v>
      </c>
      <c r="C143" s="1">
        <v>743200</v>
      </c>
      <c r="D143" s="1" t="s">
        <v>110</v>
      </c>
      <c r="E143" s="2"/>
      <c r="F143" s="2"/>
      <c r="G143" s="2"/>
      <c r="H143" s="2"/>
      <c r="I143" s="2"/>
      <c r="J143" s="2">
        <v>4319.1400000000003</v>
      </c>
      <c r="K143" s="2"/>
      <c r="L143" s="2"/>
      <c r="M143" s="22"/>
      <c r="N143" s="47"/>
      <c r="O143" s="42"/>
      <c r="P143" s="42"/>
      <c r="Q143" s="42"/>
      <c r="R143" s="42"/>
      <c r="S143" s="42"/>
      <c r="T143" s="42"/>
      <c r="U143" s="16">
        <f t="shared" si="12"/>
        <v>0</v>
      </c>
      <c r="V143" s="45" t="e">
        <f t="shared" si="11"/>
        <v>#DIV/0!</v>
      </c>
    </row>
    <row r="144" spans="1:22" x14ac:dyDescent="0.2">
      <c r="A144" s="3">
        <v>706202</v>
      </c>
      <c r="B144" s="3" t="s">
        <v>375</v>
      </c>
      <c r="C144" s="1">
        <v>743300</v>
      </c>
      <c r="D144" s="1" t="s">
        <v>111</v>
      </c>
      <c r="E144" s="2">
        <v>14626.2</v>
      </c>
      <c r="F144" s="2">
        <v>5398.17</v>
      </c>
      <c r="G144" s="2">
        <v>466.03999999999996</v>
      </c>
      <c r="H144" s="2">
        <v>3332.34</v>
      </c>
      <c r="I144" s="2">
        <v>52.5</v>
      </c>
      <c r="J144" s="2">
        <v>175.60000000000002</v>
      </c>
      <c r="K144" s="2">
        <v>985.4</v>
      </c>
      <c r="L144" s="2">
        <v>1412.6200000000001</v>
      </c>
      <c r="M144" s="22">
        <v>1012.3800000000001</v>
      </c>
      <c r="N144" s="47"/>
      <c r="O144" s="42"/>
      <c r="P144" s="42"/>
      <c r="Q144" s="42"/>
      <c r="R144" s="42"/>
      <c r="S144" s="42"/>
      <c r="T144" s="42"/>
      <c r="U144" s="16">
        <f t="shared" si="12"/>
        <v>0</v>
      </c>
      <c r="V144" s="45" t="e">
        <f t="shared" si="11"/>
        <v>#DIV/0!</v>
      </c>
    </row>
    <row r="145" spans="1:22" x14ac:dyDescent="0.2">
      <c r="A145" s="3">
        <v>706203</v>
      </c>
      <c r="B145" s="3" t="s">
        <v>376</v>
      </c>
      <c r="C145" s="1">
        <v>743400</v>
      </c>
      <c r="D145" s="1" t="s">
        <v>112</v>
      </c>
      <c r="E145" s="2">
        <v>2817</v>
      </c>
      <c r="F145" s="2">
        <v>2128</v>
      </c>
      <c r="G145" s="2">
        <v>6186.4</v>
      </c>
      <c r="H145" s="2">
        <v>6992.5599999999995</v>
      </c>
      <c r="I145" s="2">
        <v>27867.62</v>
      </c>
      <c r="J145" s="2">
        <v>8586.32</v>
      </c>
      <c r="K145" s="2">
        <v>12123.99</v>
      </c>
      <c r="L145" s="2">
        <v>16658.259999999998</v>
      </c>
      <c r="M145" s="22">
        <v>28186.79</v>
      </c>
      <c r="N145" s="42">
        <v>17491.7</v>
      </c>
      <c r="O145" s="42">
        <v>1203.21</v>
      </c>
      <c r="P145" s="42">
        <v>14507.449999999999</v>
      </c>
      <c r="Q145" s="42">
        <v>18251.87</v>
      </c>
      <c r="R145" s="39">
        <v>33991.07</v>
      </c>
      <c r="S145" s="41">
        <v>38701.460000000006</v>
      </c>
      <c r="T145" s="41">
        <v>11172.63</v>
      </c>
      <c r="U145" s="16">
        <f t="shared" si="12"/>
        <v>-27528.830000000009</v>
      </c>
      <c r="V145" s="45">
        <f t="shared" si="11"/>
        <v>-0.71131244144277772</v>
      </c>
    </row>
    <row r="146" spans="1:22" x14ac:dyDescent="0.2">
      <c r="A146" s="3">
        <v>706204</v>
      </c>
      <c r="B146" s="3" t="s">
        <v>377</v>
      </c>
      <c r="C146" s="1">
        <v>743500</v>
      </c>
      <c r="D146" s="1" t="s">
        <v>113</v>
      </c>
      <c r="E146" s="2">
        <v>2390.65</v>
      </c>
      <c r="F146" s="2">
        <v>2275.62</v>
      </c>
      <c r="G146" s="2">
        <v>3749.35</v>
      </c>
      <c r="H146" s="2">
        <v>1752.19</v>
      </c>
      <c r="I146" s="2">
        <v>6528.22</v>
      </c>
      <c r="J146" s="2">
        <v>2615.7800000000002</v>
      </c>
      <c r="K146" s="2">
        <v>4478.9400000000005</v>
      </c>
      <c r="L146" s="2">
        <v>5470.68</v>
      </c>
      <c r="M146" s="22">
        <v>3792.8900000000003</v>
      </c>
      <c r="N146" s="42">
        <v>1783.8500000000001</v>
      </c>
      <c r="O146" s="22"/>
      <c r="P146" s="42">
        <v>103.44</v>
      </c>
      <c r="Q146" s="42">
        <v>255.49</v>
      </c>
      <c r="R146" s="39">
        <v>9168.42</v>
      </c>
      <c r="S146" s="41">
        <v>12399.1</v>
      </c>
      <c r="T146" s="41">
        <v>5931.58</v>
      </c>
      <c r="U146" s="16">
        <f t="shared" si="12"/>
        <v>-6467.52</v>
      </c>
      <c r="V146" s="45">
        <f t="shared" si="11"/>
        <v>-0.52161205248768061</v>
      </c>
    </row>
    <row r="147" spans="1:22" x14ac:dyDescent="0.2">
      <c r="A147" s="3">
        <v>706300</v>
      </c>
      <c r="B147" s="3" t="s">
        <v>378</v>
      </c>
      <c r="C147" s="1">
        <v>744100</v>
      </c>
      <c r="D147" s="1" t="s">
        <v>114</v>
      </c>
      <c r="E147" s="2">
        <v>434.40000000000003</v>
      </c>
      <c r="F147" s="2">
        <v>1073.44</v>
      </c>
      <c r="G147" s="2">
        <v>2829.27</v>
      </c>
      <c r="H147" s="2">
        <v>5922.98</v>
      </c>
      <c r="I147" s="2">
        <v>3355.4100000000003</v>
      </c>
      <c r="J147" s="2">
        <v>3525.86</v>
      </c>
      <c r="K147" s="2">
        <v>2683.63</v>
      </c>
      <c r="L147" s="2">
        <v>3056.36</v>
      </c>
      <c r="M147" s="22">
        <v>2956.6200000000003</v>
      </c>
      <c r="N147" s="42">
        <v>4478.5599999999995</v>
      </c>
      <c r="O147" s="42">
        <v>4927.03</v>
      </c>
      <c r="P147" s="42">
        <v>3912.1899999999996</v>
      </c>
      <c r="Q147" s="42">
        <v>2693.15</v>
      </c>
      <c r="R147" s="42"/>
      <c r="S147" s="42"/>
      <c r="T147" s="42"/>
      <c r="U147" s="16">
        <f t="shared" si="12"/>
        <v>0</v>
      </c>
      <c r="V147" s="45" t="e">
        <f t="shared" si="11"/>
        <v>#DIV/0!</v>
      </c>
    </row>
    <row r="148" spans="1:22" x14ac:dyDescent="0.2">
      <c r="A148" s="3">
        <v>706300</v>
      </c>
      <c r="B148" s="3" t="s">
        <v>378</v>
      </c>
      <c r="C148" s="57">
        <v>744105</v>
      </c>
      <c r="D148" s="57" t="s">
        <v>286</v>
      </c>
      <c r="E148" s="2"/>
      <c r="F148" s="2"/>
      <c r="G148" s="2"/>
      <c r="H148" s="2"/>
      <c r="I148" s="2"/>
      <c r="J148" s="2"/>
      <c r="K148" s="2"/>
      <c r="L148" s="2"/>
      <c r="M148" s="22"/>
      <c r="N148" s="42"/>
      <c r="O148" s="42"/>
      <c r="P148" s="42"/>
      <c r="U148" s="16">
        <f t="shared" si="12"/>
        <v>0</v>
      </c>
      <c r="V148" s="45" t="e">
        <f t="shared" si="11"/>
        <v>#DIV/0!</v>
      </c>
    </row>
    <row r="149" spans="1:22" x14ac:dyDescent="0.2">
      <c r="A149" s="3">
        <v>706300</v>
      </c>
      <c r="B149" s="3" t="s">
        <v>378</v>
      </c>
      <c r="C149" s="1">
        <v>744110</v>
      </c>
      <c r="D149" s="1" t="s">
        <v>115</v>
      </c>
      <c r="E149" s="2">
        <v>22711.340000000004</v>
      </c>
      <c r="F149" s="2">
        <v>29364.780000000002</v>
      </c>
      <c r="G149" s="2">
        <v>30651.450000000004</v>
      </c>
      <c r="H149" s="2">
        <v>33813.910000000003</v>
      </c>
      <c r="I149" s="2">
        <v>60210.2</v>
      </c>
      <c r="J149" s="2">
        <v>31336.560000000001</v>
      </c>
      <c r="K149" s="2">
        <v>62593.52</v>
      </c>
      <c r="L149" s="2">
        <v>53771.03</v>
      </c>
      <c r="M149" s="22">
        <v>57528.43</v>
      </c>
      <c r="N149" s="42">
        <v>52088.31</v>
      </c>
      <c r="O149" s="42">
        <v>77567.199999999997</v>
      </c>
      <c r="P149" s="42">
        <v>71162.990000000005</v>
      </c>
      <c r="Q149" s="42">
        <v>99719.59</v>
      </c>
      <c r="R149" s="39">
        <v>89554.820000000022</v>
      </c>
      <c r="S149" s="41">
        <v>75420.200000000012</v>
      </c>
      <c r="T149" s="41">
        <v>54231.040000000001</v>
      </c>
      <c r="U149" s="16">
        <f t="shared" si="12"/>
        <v>-21189.160000000011</v>
      </c>
      <c r="V149" s="45">
        <f t="shared" si="11"/>
        <v>-0.28094807491892104</v>
      </c>
    </row>
    <row r="150" spans="1:22" x14ac:dyDescent="0.2">
      <c r="A150" s="3">
        <v>706301</v>
      </c>
      <c r="B150" s="3" t="s">
        <v>379</v>
      </c>
      <c r="C150" s="1">
        <v>744115</v>
      </c>
      <c r="D150" s="1" t="s">
        <v>116</v>
      </c>
      <c r="E150" s="2"/>
      <c r="F150" s="2"/>
      <c r="G150" s="2"/>
      <c r="H150" s="2"/>
      <c r="I150" s="2"/>
      <c r="J150" s="2">
        <v>37.950000000000003</v>
      </c>
      <c r="K150" s="2"/>
      <c r="L150" s="2"/>
      <c r="M150" s="22"/>
      <c r="N150" s="43"/>
      <c r="O150" s="42"/>
      <c r="P150" s="42"/>
      <c r="Q150" s="42"/>
      <c r="R150" s="42"/>
      <c r="S150" s="42"/>
      <c r="T150" s="42"/>
      <c r="U150" s="16">
        <f t="shared" si="12"/>
        <v>0</v>
      </c>
      <c r="V150" s="45" t="e">
        <f t="shared" ref="V150:V213" si="13">U150/S150</f>
        <v>#DIV/0!</v>
      </c>
    </row>
    <row r="151" spans="1:22" x14ac:dyDescent="0.2">
      <c r="A151" s="3">
        <v>706302</v>
      </c>
      <c r="B151" s="3" t="s">
        <v>380</v>
      </c>
      <c r="C151" s="1">
        <v>744125</v>
      </c>
      <c r="D151" s="1" t="s">
        <v>117</v>
      </c>
      <c r="E151" s="2">
        <v>561.36</v>
      </c>
      <c r="F151" s="2">
        <v>265.17</v>
      </c>
      <c r="G151" s="2">
        <v>548.29</v>
      </c>
      <c r="H151" s="2">
        <v>3659.6000000000004</v>
      </c>
      <c r="I151" s="2">
        <v>65.97</v>
      </c>
      <c r="J151" s="2">
        <v>417.65999999999997</v>
      </c>
      <c r="K151" s="2">
        <v>216.20000000000002</v>
      </c>
      <c r="L151" s="2">
        <v>1033.6300000000001</v>
      </c>
      <c r="M151" s="22">
        <v>-3.529999999999994</v>
      </c>
      <c r="N151" s="42">
        <v>466.18</v>
      </c>
      <c r="O151" s="42">
        <v>1555.92</v>
      </c>
      <c r="P151" s="42">
        <v>567.74</v>
      </c>
      <c r="Q151" s="42">
        <v>1406.93</v>
      </c>
      <c r="R151" s="39">
        <v>180.13</v>
      </c>
      <c r="S151" s="41">
        <v>1003.52</v>
      </c>
      <c r="T151" s="41">
        <v>877.44</v>
      </c>
      <c r="U151" s="16">
        <f t="shared" ref="U151:U214" si="14">T151-S151</f>
        <v>-126.07999999999993</v>
      </c>
      <c r="V151" s="45">
        <f t="shared" si="13"/>
        <v>-0.12563775510204075</v>
      </c>
    </row>
    <row r="152" spans="1:22" x14ac:dyDescent="0.2">
      <c r="A152" s="3">
        <v>706400</v>
      </c>
      <c r="B152" s="3" t="s">
        <v>381</v>
      </c>
      <c r="C152" s="1">
        <v>744130</v>
      </c>
      <c r="D152" s="1" t="s">
        <v>118</v>
      </c>
      <c r="E152" s="2"/>
      <c r="F152" s="2"/>
      <c r="G152" s="2"/>
      <c r="H152" s="2"/>
      <c r="I152" s="2"/>
      <c r="J152" s="2"/>
      <c r="K152" s="2">
        <v>149.99</v>
      </c>
      <c r="L152" s="2"/>
      <c r="M152" s="22"/>
      <c r="N152" s="43"/>
      <c r="O152" s="42"/>
      <c r="P152" s="42"/>
      <c r="Q152" s="42"/>
      <c r="R152" s="42"/>
      <c r="S152" s="41"/>
      <c r="T152" s="41"/>
      <c r="U152" s="16">
        <f t="shared" si="14"/>
        <v>0</v>
      </c>
      <c r="V152" s="45" t="e">
        <f t="shared" si="13"/>
        <v>#DIV/0!</v>
      </c>
    </row>
    <row r="153" spans="1:22" x14ac:dyDescent="0.2">
      <c r="A153" s="3">
        <v>706400</v>
      </c>
      <c r="B153" s="3" t="s">
        <v>381</v>
      </c>
      <c r="C153" s="1">
        <v>744135</v>
      </c>
      <c r="D153" s="1" t="s">
        <v>119</v>
      </c>
      <c r="E153" s="2"/>
      <c r="F153" s="2"/>
      <c r="G153" s="2">
        <v>3165.9</v>
      </c>
      <c r="H153" s="2">
        <v>677.43</v>
      </c>
      <c r="I153" s="2">
        <v>2253.13</v>
      </c>
      <c r="J153" s="2">
        <v>3119.33</v>
      </c>
      <c r="K153" s="2">
        <v>4162.8999999999996</v>
      </c>
      <c r="L153" s="2">
        <v>2270.6200000000003</v>
      </c>
      <c r="M153" s="22">
        <v>472.68</v>
      </c>
      <c r="N153" s="42">
        <v>54.88</v>
      </c>
      <c r="O153" s="42">
        <v>738.92</v>
      </c>
      <c r="P153" s="42">
        <v>188.28</v>
      </c>
      <c r="Q153" s="42">
        <v>880.12</v>
      </c>
      <c r="R153" s="39">
        <v>112.84</v>
      </c>
      <c r="S153" s="41">
        <v>92.45</v>
      </c>
      <c r="T153" s="41">
        <v>9.8800000000000008</v>
      </c>
      <c r="U153" s="16">
        <f t="shared" si="14"/>
        <v>-82.570000000000007</v>
      </c>
      <c r="V153" s="45">
        <f t="shared" si="13"/>
        <v>-0.89313142239048138</v>
      </c>
    </row>
    <row r="154" spans="1:22" x14ac:dyDescent="0.2">
      <c r="A154" s="3">
        <v>706504</v>
      </c>
      <c r="B154" s="3" t="s">
        <v>385</v>
      </c>
      <c r="C154" s="1">
        <v>744140</v>
      </c>
      <c r="D154" s="1" t="s">
        <v>120</v>
      </c>
      <c r="E154" s="2">
        <v>626.65000000000009</v>
      </c>
      <c r="F154" s="2">
        <v>99</v>
      </c>
      <c r="G154" s="2">
        <v>109.35</v>
      </c>
      <c r="H154" s="2">
        <v>20</v>
      </c>
      <c r="I154" s="2">
        <v>22</v>
      </c>
      <c r="J154" s="2">
        <v>-650</v>
      </c>
      <c r="K154" s="2">
        <v>45.9</v>
      </c>
      <c r="L154" s="2">
        <v>117.60000000000001</v>
      </c>
      <c r="M154" s="22">
        <v>162</v>
      </c>
      <c r="N154" s="42">
        <v>28</v>
      </c>
      <c r="O154" s="22"/>
      <c r="P154" s="42">
        <v>32</v>
      </c>
      <c r="Q154" s="42"/>
      <c r="R154" s="42"/>
      <c r="S154" s="41">
        <v>262</v>
      </c>
      <c r="T154" s="41"/>
      <c r="U154" s="16">
        <f t="shared" si="14"/>
        <v>-262</v>
      </c>
      <c r="V154" s="45">
        <f t="shared" si="13"/>
        <v>-1</v>
      </c>
    </row>
    <row r="155" spans="1:22" x14ac:dyDescent="0.2">
      <c r="A155" s="3">
        <v>706700</v>
      </c>
      <c r="B155" s="3" t="s">
        <v>390</v>
      </c>
      <c r="C155" s="1">
        <v>745100</v>
      </c>
      <c r="D155" s="1" t="s">
        <v>121</v>
      </c>
      <c r="E155" s="2">
        <v>234.68</v>
      </c>
      <c r="F155" s="2">
        <v>161.5</v>
      </c>
      <c r="G155" s="2">
        <v>3122.06</v>
      </c>
      <c r="H155" s="2">
        <v>2088</v>
      </c>
      <c r="I155" s="2">
        <v>504</v>
      </c>
      <c r="J155" s="2">
        <v>1040.9100000000001</v>
      </c>
      <c r="K155" s="2">
        <v>116.9</v>
      </c>
      <c r="L155" s="2"/>
      <c r="M155" s="22">
        <v>521.21</v>
      </c>
      <c r="N155" s="42">
        <v>88.3</v>
      </c>
      <c r="O155" s="22"/>
      <c r="P155" s="42">
        <v>353</v>
      </c>
      <c r="Q155" s="42">
        <v>344</v>
      </c>
      <c r="R155" s="42"/>
      <c r="S155" s="42"/>
      <c r="T155" s="42"/>
      <c r="U155" s="16">
        <f t="shared" si="14"/>
        <v>0</v>
      </c>
      <c r="V155" s="45" t="e">
        <f t="shared" si="13"/>
        <v>#DIV/0!</v>
      </c>
    </row>
    <row r="156" spans="1:22" x14ac:dyDescent="0.2">
      <c r="A156" s="3">
        <v>706605</v>
      </c>
      <c r="B156" s="3" t="s">
        <v>389</v>
      </c>
      <c r="C156" s="1">
        <v>745105</v>
      </c>
      <c r="D156" s="1" t="s">
        <v>122</v>
      </c>
      <c r="E156" s="2">
        <v>40627.279999999992</v>
      </c>
      <c r="F156" s="2">
        <v>53119.430000000008</v>
      </c>
      <c r="G156" s="2">
        <v>125835.44000000006</v>
      </c>
      <c r="H156" s="2">
        <v>75386.070000000022</v>
      </c>
      <c r="I156" s="2">
        <v>71983.460000000006</v>
      </c>
      <c r="J156" s="2">
        <v>85844.47</v>
      </c>
      <c r="K156" s="2">
        <v>74686.539999999994</v>
      </c>
      <c r="L156" s="2">
        <v>62306.04</v>
      </c>
      <c r="M156" s="22">
        <v>59753.100000000006</v>
      </c>
      <c r="N156" s="42">
        <v>33591.340000000004</v>
      </c>
      <c r="O156" s="42">
        <v>27201.78</v>
      </c>
      <c r="P156" s="42">
        <v>27377.829999999998</v>
      </c>
      <c r="Q156" s="42">
        <v>62987.21</v>
      </c>
      <c r="R156" s="39">
        <v>56786.089999999982</v>
      </c>
      <c r="S156" s="41">
        <v>35223.050000000003</v>
      </c>
      <c r="T156" s="41">
        <v>30094.660000000003</v>
      </c>
      <c r="U156" s="16">
        <f t="shared" si="14"/>
        <v>-5128.3899999999994</v>
      </c>
      <c r="V156" s="45">
        <f t="shared" si="13"/>
        <v>-0.14559755614576247</v>
      </c>
    </row>
    <row r="157" spans="1:22" x14ac:dyDescent="0.2">
      <c r="A157" s="3">
        <v>706605</v>
      </c>
      <c r="B157" s="3" t="s">
        <v>389</v>
      </c>
      <c r="C157" s="1">
        <v>745110</v>
      </c>
      <c r="D157" s="1" t="s">
        <v>123</v>
      </c>
      <c r="E157" s="2">
        <v>1482.2</v>
      </c>
      <c r="F157" s="2">
        <v>1085</v>
      </c>
      <c r="G157" s="2">
        <v>378.44</v>
      </c>
      <c r="H157" s="2"/>
      <c r="I157" s="2">
        <v>841.2</v>
      </c>
      <c r="J157" s="2">
        <v>16.98</v>
      </c>
      <c r="K157" s="2"/>
      <c r="L157" s="2"/>
      <c r="M157" s="22"/>
      <c r="N157" s="42">
        <v>14.55</v>
      </c>
      <c r="O157" s="42"/>
      <c r="P157" s="42"/>
      <c r="Q157" s="42"/>
      <c r="R157" s="42"/>
      <c r="S157" s="42"/>
      <c r="T157" s="42"/>
      <c r="U157" s="16">
        <f t="shared" si="14"/>
        <v>0</v>
      </c>
      <c r="V157" s="45" t="e">
        <f t="shared" si="13"/>
        <v>#DIV/0!</v>
      </c>
    </row>
    <row r="158" spans="1:22" x14ac:dyDescent="0.2">
      <c r="A158" s="3">
        <v>706601</v>
      </c>
      <c r="B158" s="3" t="s">
        <v>387</v>
      </c>
      <c r="C158" s="1">
        <v>745115</v>
      </c>
      <c r="D158" s="1" t="s">
        <v>124</v>
      </c>
      <c r="E158" s="2">
        <v>812.05</v>
      </c>
      <c r="F158" s="2">
        <v>2070.25</v>
      </c>
      <c r="G158" s="2">
        <v>1363.15</v>
      </c>
      <c r="H158" s="2">
        <v>1568.5800000000002</v>
      </c>
      <c r="I158" s="2">
        <v>1285.5</v>
      </c>
      <c r="J158" s="2">
        <v>1399.97</v>
      </c>
      <c r="K158" s="2"/>
      <c r="L158" s="2">
        <v>2026.75</v>
      </c>
      <c r="M158" s="22">
        <v>2313.5699999999997</v>
      </c>
      <c r="N158" s="42">
        <v>1983.46</v>
      </c>
      <c r="O158" s="42">
        <v>1739.73</v>
      </c>
      <c r="P158" s="42">
        <v>933.6</v>
      </c>
      <c r="Q158" s="42">
        <v>30</v>
      </c>
      <c r="R158" s="39">
        <v>948</v>
      </c>
      <c r="S158" s="39"/>
      <c r="T158" s="39">
        <v>41.9</v>
      </c>
      <c r="U158" s="16">
        <f t="shared" si="14"/>
        <v>41.9</v>
      </c>
      <c r="V158" s="45" t="e">
        <f t="shared" si="13"/>
        <v>#DIV/0!</v>
      </c>
    </row>
    <row r="159" spans="1:22" x14ac:dyDescent="0.2">
      <c r="A159" s="72">
        <v>706604</v>
      </c>
      <c r="B159" s="72" t="s">
        <v>475</v>
      </c>
      <c r="C159" s="1" t="s">
        <v>476</v>
      </c>
      <c r="D159" s="1"/>
      <c r="E159" s="2"/>
      <c r="F159" s="2"/>
      <c r="G159" s="2"/>
      <c r="H159" s="2"/>
      <c r="I159" s="2"/>
      <c r="J159" s="2"/>
      <c r="K159" s="2"/>
      <c r="L159" s="2"/>
      <c r="M159" s="22"/>
      <c r="N159" s="42"/>
      <c r="O159" s="42"/>
      <c r="P159" s="42"/>
      <c r="Q159" s="42"/>
      <c r="R159" s="39"/>
      <c r="S159" s="41">
        <v>180</v>
      </c>
      <c r="T159" s="41">
        <v>252</v>
      </c>
      <c r="U159" s="16">
        <f t="shared" si="14"/>
        <v>72</v>
      </c>
      <c r="V159" s="45">
        <f t="shared" si="13"/>
        <v>0.4</v>
      </c>
    </row>
    <row r="160" spans="1:22" x14ac:dyDescent="0.2">
      <c r="A160" s="3">
        <v>706600</v>
      </c>
      <c r="B160" s="3" t="s">
        <v>386</v>
      </c>
      <c r="C160" s="1">
        <v>745120</v>
      </c>
      <c r="D160" s="1" t="s">
        <v>192</v>
      </c>
      <c r="E160" s="2"/>
      <c r="F160" s="2"/>
      <c r="G160" s="2"/>
      <c r="H160" s="2"/>
      <c r="I160" s="2"/>
      <c r="J160" s="2"/>
      <c r="K160" s="2"/>
      <c r="L160" s="2"/>
      <c r="M160" s="22"/>
      <c r="N160" s="42"/>
      <c r="O160" s="42">
        <v>-111.36</v>
      </c>
      <c r="P160" s="42"/>
      <c r="Q160" s="42"/>
      <c r="R160" s="42"/>
      <c r="S160" s="42"/>
      <c r="T160" s="42"/>
      <c r="U160" s="16">
        <f t="shared" si="14"/>
        <v>0</v>
      </c>
      <c r="V160" s="45" t="e">
        <f t="shared" si="13"/>
        <v>#DIV/0!</v>
      </c>
    </row>
    <row r="161" spans="1:22" x14ac:dyDescent="0.2">
      <c r="A161" s="3">
        <v>701304</v>
      </c>
      <c r="B161" s="3" t="s">
        <v>193</v>
      </c>
      <c r="C161" s="57">
        <v>745130</v>
      </c>
      <c r="D161" s="57" t="s">
        <v>193</v>
      </c>
      <c r="E161" s="2"/>
      <c r="F161" s="2"/>
      <c r="G161" s="2"/>
      <c r="H161" s="2"/>
      <c r="I161" s="2"/>
      <c r="J161" s="2"/>
      <c r="K161" s="2"/>
      <c r="L161" s="2"/>
      <c r="M161" s="22"/>
      <c r="N161" s="42"/>
      <c r="O161" s="42"/>
      <c r="P161" s="42"/>
      <c r="Q161" s="42"/>
      <c r="R161" s="42"/>
      <c r="S161" s="42"/>
      <c r="T161" s="42"/>
      <c r="U161" s="16">
        <f t="shared" si="14"/>
        <v>0</v>
      </c>
      <c r="V161" s="45" t="e">
        <f t="shared" si="13"/>
        <v>#DIV/0!</v>
      </c>
    </row>
    <row r="162" spans="1:22" x14ac:dyDescent="0.2">
      <c r="A162" s="3">
        <v>707001</v>
      </c>
      <c r="B162" s="3" t="s">
        <v>392</v>
      </c>
      <c r="C162" s="1">
        <v>751100</v>
      </c>
      <c r="D162" s="1" t="s">
        <v>125</v>
      </c>
      <c r="E162" s="2">
        <v>7006.07</v>
      </c>
      <c r="F162" s="2">
        <v>1629.95</v>
      </c>
      <c r="G162" s="2"/>
      <c r="H162" s="2"/>
      <c r="I162" s="2">
        <v>-290.08</v>
      </c>
      <c r="J162" s="2">
        <v>3207.92</v>
      </c>
      <c r="K162" s="2">
        <v>13833.96</v>
      </c>
      <c r="L162" s="2">
        <v>2113.65</v>
      </c>
      <c r="M162" s="22"/>
      <c r="N162" s="42">
        <v>2924.88</v>
      </c>
      <c r="O162" s="42">
        <v>2676.16</v>
      </c>
      <c r="P162" s="42">
        <v>584.6</v>
      </c>
      <c r="Q162" s="42"/>
      <c r="R162" s="39">
        <v>7063.93</v>
      </c>
      <c r="S162" s="41">
        <v>5215.5700000000006</v>
      </c>
      <c r="T162" s="41">
        <v>33187.58</v>
      </c>
      <c r="U162" s="16">
        <f t="shared" si="14"/>
        <v>27972.010000000002</v>
      </c>
      <c r="V162" s="45">
        <f t="shared" si="13"/>
        <v>5.3631741113627083</v>
      </c>
    </row>
    <row r="163" spans="1:22" x14ac:dyDescent="0.2">
      <c r="A163" s="3">
        <v>707000</v>
      </c>
      <c r="B163" s="3" t="s">
        <v>391</v>
      </c>
      <c r="C163" s="1">
        <v>751110</v>
      </c>
      <c r="D163" s="1" t="s">
        <v>126</v>
      </c>
      <c r="E163" s="2">
        <v>6674.9900000000007</v>
      </c>
      <c r="F163" s="2">
        <v>7660.7800000000007</v>
      </c>
      <c r="G163" s="2">
        <v>6331.02</v>
      </c>
      <c r="H163" s="2">
        <v>18878.250000000011</v>
      </c>
      <c r="I163" s="2">
        <v>23015.439999999999</v>
      </c>
      <c r="J163" s="2">
        <v>11047.900000000001</v>
      </c>
      <c r="K163" s="2">
        <v>4478.6400000000012</v>
      </c>
      <c r="L163" s="2">
        <v>10668.689999999999</v>
      </c>
      <c r="M163" s="22">
        <v>15280.140000000001</v>
      </c>
      <c r="N163" s="42">
        <v>30006.62</v>
      </c>
      <c r="O163" s="42">
        <v>10464.06</v>
      </c>
      <c r="P163" s="42">
        <v>10406.61</v>
      </c>
      <c r="Q163" s="42">
        <v>13287.38</v>
      </c>
      <c r="R163" s="39">
        <v>14671.78</v>
      </c>
      <c r="S163" s="41">
        <v>10271.560000000001</v>
      </c>
      <c r="T163" s="41">
        <v>8524.06</v>
      </c>
      <c r="U163" s="16">
        <f t="shared" si="14"/>
        <v>-1747.5000000000018</v>
      </c>
      <c r="V163" s="45">
        <f t="shared" si="13"/>
        <v>-0.17012995104930523</v>
      </c>
    </row>
    <row r="164" spans="1:22" x14ac:dyDescent="0.2">
      <c r="A164" s="3">
        <v>707101</v>
      </c>
      <c r="B164" s="3" t="s">
        <v>395</v>
      </c>
      <c r="C164" s="1">
        <v>752100</v>
      </c>
      <c r="D164" s="1" t="s">
        <v>127</v>
      </c>
      <c r="E164" s="2">
        <v>20120.010000000002</v>
      </c>
      <c r="F164" s="2">
        <v>14789.390000000001</v>
      </c>
      <c r="G164" s="2">
        <v>6010.25</v>
      </c>
      <c r="H164" s="2">
        <v>9148.32</v>
      </c>
      <c r="I164" s="2">
        <v>15517.82</v>
      </c>
      <c r="J164" s="2">
        <v>869.96</v>
      </c>
      <c r="K164" s="2">
        <v>29096.47</v>
      </c>
      <c r="L164" s="2">
        <v>17975.79</v>
      </c>
      <c r="M164" s="22">
        <v>13579.67</v>
      </c>
      <c r="N164" s="42">
        <v>52762.69</v>
      </c>
      <c r="O164" s="42">
        <v>20216.650000000001</v>
      </c>
      <c r="P164" s="42">
        <v>13170</v>
      </c>
      <c r="Q164" s="42">
        <v>15166.38</v>
      </c>
      <c r="R164" s="39">
        <v>49110.880000000005</v>
      </c>
      <c r="S164" s="41">
        <v>28334.660000000003</v>
      </c>
      <c r="T164" s="41">
        <v>39764.660000000003</v>
      </c>
      <c r="U164" s="16">
        <f t="shared" si="14"/>
        <v>11430</v>
      </c>
      <c r="V164" s="45">
        <f t="shared" si="13"/>
        <v>0.40339287642766841</v>
      </c>
    </row>
    <row r="165" spans="1:22" x14ac:dyDescent="0.2">
      <c r="A165" s="3">
        <v>707100</v>
      </c>
      <c r="B165" s="3" t="s">
        <v>394</v>
      </c>
      <c r="C165" s="1">
        <v>752105</v>
      </c>
      <c r="D165" s="1" t="s">
        <v>128</v>
      </c>
      <c r="E165" s="2">
        <v>25584</v>
      </c>
      <c r="F165" s="2">
        <v>900</v>
      </c>
      <c r="G165" s="2"/>
      <c r="H165" s="2">
        <v>4428</v>
      </c>
      <c r="I165" s="2">
        <v>19000</v>
      </c>
      <c r="J165" s="2">
        <v>28208.36</v>
      </c>
      <c r="K165" s="2">
        <v>70433.97</v>
      </c>
      <c r="L165" s="2">
        <v>20811.939999999999</v>
      </c>
      <c r="M165" s="22">
        <v>663.93000000000006</v>
      </c>
      <c r="N165" s="42">
        <v>952.33</v>
      </c>
      <c r="O165" s="42">
        <v>16319.33</v>
      </c>
      <c r="P165" s="42">
        <v>2745.3199999999997</v>
      </c>
      <c r="Q165" s="42">
        <v>329.81</v>
      </c>
      <c r="R165" s="42"/>
      <c r="S165" s="42"/>
      <c r="T165" s="42"/>
      <c r="U165" s="16">
        <f t="shared" si="14"/>
        <v>0</v>
      </c>
      <c r="V165" s="45" t="e">
        <f t="shared" si="13"/>
        <v>#DIV/0!</v>
      </c>
    </row>
    <row r="166" spans="1:22" x14ac:dyDescent="0.2">
      <c r="A166" s="3">
        <v>707100</v>
      </c>
      <c r="B166" s="3" t="s">
        <v>394</v>
      </c>
      <c r="C166" s="1">
        <v>752110</v>
      </c>
      <c r="D166" s="1" t="s">
        <v>129</v>
      </c>
      <c r="E166" s="2">
        <v>3135</v>
      </c>
      <c r="F166" s="2">
        <v>1050</v>
      </c>
      <c r="G166" s="2"/>
      <c r="H166" s="2">
        <v>856.85</v>
      </c>
      <c r="I166" s="2"/>
      <c r="J166" s="2">
        <v>2690</v>
      </c>
      <c r="K166" s="2"/>
      <c r="L166" s="2">
        <v>2690</v>
      </c>
      <c r="M166" s="22">
        <v>2690</v>
      </c>
      <c r="N166" s="42">
        <v>2690</v>
      </c>
      <c r="O166" s="42">
        <v>3690</v>
      </c>
      <c r="P166" s="42">
        <v>4253</v>
      </c>
      <c r="Q166" s="42">
        <v>1598</v>
      </c>
      <c r="R166" s="39">
        <v>669.97</v>
      </c>
      <c r="S166" s="41">
        <v>684.1</v>
      </c>
      <c r="T166" s="41">
        <v>21741.11</v>
      </c>
      <c r="U166" s="16">
        <f t="shared" si="14"/>
        <v>21057.010000000002</v>
      </c>
      <c r="V166" s="45">
        <f t="shared" si="13"/>
        <v>30.780602251132876</v>
      </c>
    </row>
    <row r="167" spans="1:22" x14ac:dyDescent="0.2">
      <c r="A167" s="3">
        <v>707101</v>
      </c>
      <c r="B167" s="3" t="s">
        <v>395</v>
      </c>
      <c r="C167" s="1">
        <v>752115</v>
      </c>
      <c r="D167" s="1" t="s">
        <v>130</v>
      </c>
      <c r="E167" s="2">
        <v>10284.52</v>
      </c>
      <c r="F167" s="2">
        <v>8098.5400000000009</v>
      </c>
      <c r="G167" s="2">
        <v>26432.98</v>
      </c>
      <c r="H167" s="2">
        <v>76239.600000000006</v>
      </c>
      <c r="I167" s="2">
        <v>20601.900000000001</v>
      </c>
      <c r="J167" s="2">
        <v>9815.09</v>
      </c>
      <c r="K167" s="2">
        <v>6627.13</v>
      </c>
      <c r="L167" s="2">
        <v>15713.03</v>
      </c>
      <c r="M167" s="22">
        <v>6868.48</v>
      </c>
      <c r="N167" s="42">
        <v>5775.2</v>
      </c>
      <c r="O167" s="42">
        <v>2299.42</v>
      </c>
      <c r="P167" s="42">
        <v>3435.94</v>
      </c>
      <c r="Q167" s="42">
        <v>6216.81</v>
      </c>
      <c r="R167" s="42"/>
      <c r="S167" s="42"/>
      <c r="T167" s="42"/>
      <c r="U167" s="16">
        <f t="shared" si="14"/>
        <v>0</v>
      </c>
      <c r="V167" s="45" t="e">
        <f t="shared" si="13"/>
        <v>#DIV/0!</v>
      </c>
    </row>
    <row r="168" spans="1:22" x14ac:dyDescent="0.2">
      <c r="A168" s="3">
        <v>707153</v>
      </c>
      <c r="B168" s="3" t="s">
        <v>399</v>
      </c>
      <c r="C168" s="1">
        <v>753100</v>
      </c>
      <c r="D168" s="1" t="s">
        <v>131</v>
      </c>
      <c r="E168" s="2">
        <v>6555.1900000000005</v>
      </c>
      <c r="F168" s="2">
        <v>12534.95</v>
      </c>
      <c r="G168" s="2">
        <v>5028.24</v>
      </c>
      <c r="H168" s="2">
        <v>5443.68</v>
      </c>
      <c r="I168" s="2">
        <v>6679.7099999999982</v>
      </c>
      <c r="J168" s="2">
        <v>5722.6200000000008</v>
      </c>
      <c r="K168" s="2">
        <v>4437.72</v>
      </c>
      <c r="L168" s="2">
        <v>3883.38</v>
      </c>
      <c r="M168" s="22">
        <v>6533.22</v>
      </c>
      <c r="N168" s="22">
        <v>2415.08</v>
      </c>
      <c r="O168" s="42">
        <v>2945.27</v>
      </c>
      <c r="P168" s="42">
        <v>3409.5</v>
      </c>
      <c r="Q168" s="42">
        <v>8878.2800000000007</v>
      </c>
      <c r="R168" s="39">
        <v>6445.9</v>
      </c>
      <c r="S168" s="41">
        <v>17058.620000000003</v>
      </c>
      <c r="T168" s="41">
        <v>195353.19</v>
      </c>
      <c r="U168" s="16">
        <f t="shared" si="14"/>
        <v>178294.57</v>
      </c>
      <c r="V168" s="45">
        <f t="shared" si="13"/>
        <v>10.451875356857705</v>
      </c>
    </row>
    <row r="169" spans="1:22" x14ac:dyDescent="0.2">
      <c r="A169" s="3">
        <v>707001</v>
      </c>
      <c r="B169" s="3" t="s">
        <v>392</v>
      </c>
      <c r="C169" s="1">
        <v>761100</v>
      </c>
      <c r="D169" s="1" t="s">
        <v>132</v>
      </c>
      <c r="E169" s="2">
        <v>1317</v>
      </c>
      <c r="F169" s="2">
        <v>1317</v>
      </c>
      <c r="G169" s="2">
        <v>1317</v>
      </c>
      <c r="H169" s="2">
        <v>878</v>
      </c>
      <c r="I169" s="2"/>
      <c r="J169" s="2">
        <v>878</v>
      </c>
      <c r="K169" s="2">
        <v>878</v>
      </c>
      <c r="L169" s="2">
        <v>1317</v>
      </c>
      <c r="M169" s="22">
        <v>439</v>
      </c>
      <c r="N169" s="43">
        <v>1317</v>
      </c>
      <c r="O169" s="22"/>
      <c r="P169" s="22"/>
      <c r="Q169" s="22"/>
      <c r="R169" s="22"/>
      <c r="S169" s="22"/>
      <c r="T169" s="22"/>
      <c r="U169" s="16">
        <f t="shared" si="14"/>
        <v>0</v>
      </c>
      <c r="V169" s="45" t="e">
        <f t="shared" si="13"/>
        <v>#DIV/0!</v>
      </c>
    </row>
    <row r="170" spans="1:22" x14ac:dyDescent="0.2">
      <c r="A170" s="3">
        <v>707001</v>
      </c>
      <c r="B170" s="3" t="s">
        <v>392</v>
      </c>
      <c r="C170" s="1">
        <v>761104</v>
      </c>
      <c r="D170" s="1" t="s">
        <v>133</v>
      </c>
      <c r="E170" s="2"/>
      <c r="F170" s="2"/>
      <c r="G170" s="2"/>
      <c r="H170" s="2">
        <v>-149.99</v>
      </c>
      <c r="I170" s="2"/>
      <c r="J170" s="2"/>
      <c r="K170" s="2"/>
      <c r="L170" s="2">
        <v>779.98</v>
      </c>
      <c r="M170" s="22"/>
      <c r="N170" s="43"/>
      <c r="O170" s="22"/>
      <c r="P170" s="22"/>
      <c r="Q170" s="22"/>
      <c r="R170" s="22"/>
      <c r="S170" s="22"/>
      <c r="T170" s="22"/>
      <c r="U170" s="16">
        <f t="shared" si="14"/>
        <v>0</v>
      </c>
      <c r="V170" s="45" t="e">
        <f t="shared" si="13"/>
        <v>#DIV/0!</v>
      </c>
    </row>
    <row r="171" spans="1:22" x14ac:dyDescent="0.2">
      <c r="A171" s="3">
        <v>707150</v>
      </c>
      <c r="B171" s="3" t="s">
        <v>396</v>
      </c>
      <c r="C171" s="1">
        <v>763105</v>
      </c>
      <c r="D171" s="1" t="s">
        <v>134</v>
      </c>
      <c r="E171" s="2">
        <v>3783.4800000000005</v>
      </c>
      <c r="F171" s="2">
        <v>4127.7299999999996</v>
      </c>
      <c r="G171" s="2">
        <v>7770.44</v>
      </c>
      <c r="H171" s="2">
        <v>5017.5400000000009</v>
      </c>
      <c r="I171" s="2">
        <v>8430.7900000000009</v>
      </c>
      <c r="J171" s="2">
        <v>1568.62</v>
      </c>
      <c r="K171" s="2">
        <v>20459.38</v>
      </c>
      <c r="L171" s="2">
        <v>1092.24</v>
      </c>
      <c r="M171" s="22">
        <v>33230.910000000003</v>
      </c>
      <c r="N171" s="42">
        <v>4115.7800000000007</v>
      </c>
      <c r="O171" s="22"/>
      <c r="P171" s="22"/>
      <c r="Q171" s="42">
        <v>1686.64</v>
      </c>
      <c r="R171" s="42"/>
      <c r="S171" s="41">
        <v>292.72000000000003</v>
      </c>
      <c r="T171" s="41"/>
      <c r="U171" s="16">
        <f t="shared" si="14"/>
        <v>-292.72000000000003</v>
      </c>
      <c r="V171" s="45">
        <f t="shared" si="13"/>
        <v>-1</v>
      </c>
    </row>
    <row r="172" spans="1:22" x14ac:dyDescent="0.2">
      <c r="A172" s="3">
        <v>707153</v>
      </c>
      <c r="B172" s="3" t="s">
        <v>399</v>
      </c>
      <c r="C172" s="1">
        <v>764100</v>
      </c>
      <c r="D172" s="1" t="s">
        <v>135</v>
      </c>
      <c r="E172" s="2">
        <v>253.97</v>
      </c>
      <c r="F172" s="2"/>
      <c r="G172" s="2"/>
      <c r="H172" s="2">
        <v>221.10000000000002</v>
      </c>
      <c r="I172" s="2"/>
      <c r="J172" s="2">
        <v>167.13</v>
      </c>
      <c r="K172" s="2">
        <v>470</v>
      </c>
      <c r="L172" s="2">
        <v>219.75</v>
      </c>
      <c r="M172" s="22">
        <v>914</v>
      </c>
      <c r="N172" s="42">
        <v>5.79</v>
      </c>
      <c r="O172" s="22"/>
      <c r="P172" s="42">
        <v>140.94</v>
      </c>
      <c r="Q172" s="42"/>
      <c r="R172" s="42"/>
      <c r="S172" s="42"/>
      <c r="T172" s="42"/>
      <c r="U172" s="16">
        <f t="shared" si="14"/>
        <v>0</v>
      </c>
      <c r="V172" s="45" t="e">
        <f t="shared" si="13"/>
        <v>#DIV/0!</v>
      </c>
    </row>
    <row r="173" spans="1:22" x14ac:dyDescent="0.2">
      <c r="A173" s="3">
        <v>707152</v>
      </c>
      <c r="B173" s="3" t="s">
        <v>398</v>
      </c>
      <c r="C173" s="1">
        <v>764104</v>
      </c>
      <c r="D173" s="1" t="s">
        <v>136</v>
      </c>
      <c r="E173" s="2">
        <v>861.13</v>
      </c>
      <c r="F173" s="2">
        <v>823.08</v>
      </c>
      <c r="G173" s="2">
        <v>815.32</v>
      </c>
      <c r="H173" s="2">
        <v>640.14</v>
      </c>
      <c r="I173" s="2">
        <v>450.65000000000003</v>
      </c>
      <c r="J173" s="2">
        <v>315.95999999999998</v>
      </c>
      <c r="K173" s="2">
        <v>158.94</v>
      </c>
      <c r="L173" s="2">
        <v>119.03999999999999</v>
      </c>
      <c r="M173" s="22">
        <v>1199.33</v>
      </c>
      <c r="N173" s="42">
        <v>1161.54</v>
      </c>
      <c r="O173" s="42">
        <v>1129.71</v>
      </c>
      <c r="P173" s="42">
        <v>1078.8800000000001</v>
      </c>
      <c r="Q173" s="42">
        <v>944.88</v>
      </c>
      <c r="R173" s="39">
        <v>963.21</v>
      </c>
      <c r="S173" s="41">
        <v>1250.4100000000001</v>
      </c>
      <c r="T173" s="41">
        <v>2018.56</v>
      </c>
      <c r="U173" s="16">
        <f t="shared" si="14"/>
        <v>768.14999999999986</v>
      </c>
      <c r="V173" s="45">
        <f t="shared" si="13"/>
        <v>0.61431850353084172</v>
      </c>
    </row>
    <row r="174" spans="1:22" x14ac:dyDescent="0.2">
      <c r="A174" s="3">
        <v>707151</v>
      </c>
      <c r="B174" s="3" t="s">
        <v>397</v>
      </c>
      <c r="C174" s="1">
        <v>764110</v>
      </c>
      <c r="D174" s="1" t="s">
        <v>137</v>
      </c>
      <c r="E174" s="2">
        <v>71275.959999999992</v>
      </c>
      <c r="F174" s="2">
        <v>70888.650000000023</v>
      </c>
      <c r="G174" s="2">
        <v>71366.44</v>
      </c>
      <c r="H174" s="2">
        <v>60244.26999999999</v>
      </c>
      <c r="I174" s="2">
        <v>58265.679999999986</v>
      </c>
      <c r="J174" s="2">
        <v>58319.239999999983</v>
      </c>
      <c r="K174" s="2">
        <v>59132.27</v>
      </c>
      <c r="L174" s="2">
        <v>59766.909999999996</v>
      </c>
      <c r="M174" s="22">
        <v>61351.510000000017</v>
      </c>
      <c r="N174" s="42">
        <v>62478.959999999985</v>
      </c>
      <c r="O174" s="42">
        <v>63137.07</v>
      </c>
      <c r="P174" s="42">
        <v>57188.519999999982</v>
      </c>
      <c r="Q174" s="42">
        <v>57077.42</v>
      </c>
      <c r="R174" s="39">
        <v>58998.860000000008</v>
      </c>
      <c r="S174" s="41">
        <v>59960.780000000021</v>
      </c>
      <c r="T174" s="41">
        <v>59013.839999999989</v>
      </c>
      <c r="U174" s="16">
        <f t="shared" si="14"/>
        <v>-946.94000000003143</v>
      </c>
      <c r="V174" s="45">
        <f t="shared" si="13"/>
        <v>-1.5792656466444083E-2</v>
      </c>
    </row>
    <row r="175" spans="1:22" x14ac:dyDescent="0.2">
      <c r="A175" s="3">
        <v>707151</v>
      </c>
      <c r="B175" s="3" t="s">
        <v>397</v>
      </c>
      <c r="C175" s="1">
        <v>764120</v>
      </c>
      <c r="D175" s="1" t="s">
        <v>138</v>
      </c>
      <c r="E175" s="2">
        <v>4901.4700000000012</v>
      </c>
      <c r="F175" s="2">
        <v>4746.7899999999981</v>
      </c>
      <c r="G175" s="2">
        <v>5017.5600000000022</v>
      </c>
      <c r="H175" s="2">
        <v>4986.9000000000005</v>
      </c>
      <c r="I175" s="2">
        <v>4973.4799999999987</v>
      </c>
      <c r="J175" s="2">
        <v>3694.6400000000003</v>
      </c>
      <c r="K175" s="2">
        <v>3854.2100000000014</v>
      </c>
      <c r="L175" s="2">
        <v>3304.9200000000005</v>
      </c>
      <c r="M175" s="22">
        <v>2447.2499999999995</v>
      </c>
      <c r="N175" s="42">
        <v>2661.6600000000003</v>
      </c>
      <c r="O175" s="42">
        <v>2137.1799999999998</v>
      </c>
      <c r="P175" s="42">
        <v>1172.3400000000001</v>
      </c>
      <c r="Q175" s="42">
        <v>1671.28</v>
      </c>
      <c r="R175" s="42"/>
      <c r="S175" s="42"/>
      <c r="T175" s="42"/>
      <c r="U175" s="16">
        <f t="shared" si="14"/>
        <v>0</v>
      </c>
      <c r="V175" s="45" t="e">
        <f t="shared" si="13"/>
        <v>#DIV/0!</v>
      </c>
    </row>
    <row r="176" spans="1:22" x14ac:dyDescent="0.2">
      <c r="C176" s="1">
        <v>764130</v>
      </c>
      <c r="D176" s="1" t="s">
        <v>139</v>
      </c>
      <c r="E176" s="2">
        <v>26.800000000000004</v>
      </c>
      <c r="F176" s="2"/>
      <c r="G176" s="2"/>
      <c r="H176" s="2"/>
      <c r="I176" s="2"/>
      <c r="J176" s="2"/>
      <c r="K176" s="2"/>
      <c r="L176" s="2"/>
      <c r="M176" s="22"/>
      <c r="N176" s="22"/>
      <c r="O176" s="22"/>
      <c r="P176" s="22"/>
      <c r="Q176" s="22"/>
      <c r="R176" s="22"/>
      <c r="S176" s="22"/>
      <c r="T176" s="22"/>
      <c r="U176" s="16">
        <f t="shared" si="14"/>
        <v>0</v>
      </c>
      <c r="V176" s="45" t="e">
        <f t="shared" si="13"/>
        <v>#DIV/0!</v>
      </c>
    </row>
    <row r="177" spans="1:22" x14ac:dyDescent="0.2">
      <c r="A177" s="3">
        <v>707151</v>
      </c>
      <c r="B177" s="3" t="s">
        <v>397</v>
      </c>
      <c r="C177" s="1">
        <v>764140</v>
      </c>
      <c r="D177" s="1" t="s">
        <v>140</v>
      </c>
      <c r="E177" s="2"/>
      <c r="F177" s="2">
        <v>24.86</v>
      </c>
      <c r="G177" s="2"/>
      <c r="H177" s="2"/>
      <c r="I177" s="2"/>
      <c r="J177" s="2">
        <v>16.990000000000002</v>
      </c>
      <c r="K177" s="2"/>
      <c r="L177" s="2"/>
      <c r="M177" s="22"/>
      <c r="N177" s="22"/>
      <c r="O177" s="22"/>
      <c r="P177" s="22"/>
      <c r="Q177" s="22"/>
      <c r="R177" s="22"/>
      <c r="S177" s="22"/>
      <c r="T177" s="22"/>
      <c r="U177" s="16">
        <f t="shared" si="14"/>
        <v>0</v>
      </c>
      <c r="V177" s="45" t="e">
        <f t="shared" si="13"/>
        <v>#DIV/0!</v>
      </c>
    </row>
    <row r="178" spans="1:22" x14ac:dyDescent="0.2">
      <c r="A178" s="3">
        <v>707300</v>
      </c>
      <c r="B178" s="3" t="s">
        <v>401</v>
      </c>
      <c r="C178" s="1">
        <v>771100</v>
      </c>
      <c r="D178" s="1" t="s">
        <v>141</v>
      </c>
      <c r="E178" s="2">
        <v>123729.54999999999</v>
      </c>
      <c r="F178" s="2">
        <v>154335.53999999995</v>
      </c>
      <c r="G178" s="2">
        <v>112547.65999999999</v>
      </c>
      <c r="H178" s="2">
        <v>46816.819999999992</v>
      </c>
      <c r="I178" s="2">
        <v>43632.18</v>
      </c>
      <c r="J178" s="2">
        <v>41371.57</v>
      </c>
      <c r="K178" s="2">
        <v>39930.070000000007</v>
      </c>
      <c r="L178" s="2">
        <v>31873.080000000005</v>
      </c>
      <c r="M178" s="22">
        <v>26660.649999999998</v>
      </c>
      <c r="N178" s="42">
        <v>5310.71</v>
      </c>
      <c r="O178" s="42">
        <v>8719.27</v>
      </c>
      <c r="P178" s="42">
        <v>7597.88</v>
      </c>
      <c r="Q178" s="42">
        <v>4157.16</v>
      </c>
      <c r="R178" s="42"/>
      <c r="S178" s="42"/>
      <c r="T178" s="42"/>
      <c r="U178" s="16">
        <f t="shared" si="14"/>
        <v>0</v>
      </c>
      <c r="V178" s="45" t="e">
        <f t="shared" si="13"/>
        <v>#DIV/0!</v>
      </c>
    </row>
    <row r="179" spans="1:22" x14ac:dyDescent="0.2">
      <c r="A179" s="3">
        <v>707300</v>
      </c>
      <c r="B179" s="3" t="s">
        <v>401</v>
      </c>
      <c r="C179" s="1">
        <v>771105</v>
      </c>
      <c r="D179" s="1" t="s">
        <v>142</v>
      </c>
      <c r="E179" s="2"/>
      <c r="F179" s="2"/>
      <c r="G179" s="2"/>
      <c r="H179" s="2">
        <v>14.280000000000001</v>
      </c>
      <c r="I179" s="2"/>
      <c r="J179" s="2"/>
      <c r="K179" s="2"/>
      <c r="L179" s="2"/>
      <c r="M179" s="22"/>
      <c r="N179" s="47"/>
      <c r="O179" s="42"/>
      <c r="P179" s="42"/>
      <c r="Q179" s="42"/>
      <c r="R179" s="42"/>
      <c r="S179" s="42"/>
      <c r="T179" s="42"/>
      <c r="U179" s="16">
        <f t="shared" si="14"/>
        <v>0</v>
      </c>
      <c r="V179" s="45" t="e">
        <f t="shared" si="13"/>
        <v>#DIV/0!</v>
      </c>
    </row>
    <row r="180" spans="1:22" x14ac:dyDescent="0.2">
      <c r="A180" s="3">
        <v>707300</v>
      </c>
      <c r="B180" s="3" t="s">
        <v>401</v>
      </c>
      <c r="C180" s="1">
        <v>771110</v>
      </c>
      <c r="D180" s="1" t="s">
        <v>143</v>
      </c>
      <c r="E180" s="2">
        <v>5773.1500000000005</v>
      </c>
      <c r="F180" s="2">
        <v>10211.279999999999</v>
      </c>
      <c r="G180" s="2">
        <v>7565.23</v>
      </c>
      <c r="H180" s="2">
        <v>136737.93000000005</v>
      </c>
      <c r="I180" s="2">
        <v>115113.91</v>
      </c>
      <c r="J180" s="2">
        <v>126353.79</v>
      </c>
      <c r="K180" s="2">
        <v>128586.95</v>
      </c>
      <c r="L180" s="2">
        <v>131863.56</v>
      </c>
      <c r="M180" s="22">
        <v>118859.82</v>
      </c>
      <c r="N180" s="42">
        <v>128450.31000000006</v>
      </c>
      <c r="O180" s="42">
        <v>107243.24000000002</v>
      </c>
      <c r="P180" s="42">
        <v>112365.48999999998</v>
      </c>
      <c r="Q180" s="42">
        <v>122492.4</v>
      </c>
      <c r="R180" s="39">
        <v>108522.34000000004</v>
      </c>
      <c r="S180" s="41">
        <v>44905.73000000001</v>
      </c>
      <c r="T180" s="41">
        <v>30168.65</v>
      </c>
      <c r="U180" s="16">
        <f t="shared" si="14"/>
        <v>-14737.080000000009</v>
      </c>
      <c r="V180" s="45">
        <f t="shared" si="13"/>
        <v>-0.32817816345486434</v>
      </c>
    </row>
    <row r="181" spans="1:22" x14ac:dyDescent="0.2">
      <c r="A181" s="3">
        <v>707200</v>
      </c>
      <c r="B181" s="3" t="s">
        <v>400</v>
      </c>
      <c r="C181" s="1">
        <v>771115</v>
      </c>
      <c r="D181" s="1" t="s">
        <v>144</v>
      </c>
      <c r="E181" s="2">
        <v>14288.53</v>
      </c>
      <c r="F181" s="2">
        <v>8021.5400000000009</v>
      </c>
      <c r="G181" s="2">
        <v>3120.25</v>
      </c>
      <c r="H181" s="2">
        <v>368.25</v>
      </c>
      <c r="I181" s="2">
        <v>10844.38</v>
      </c>
      <c r="J181" s="2">
        <v>3405.92</v>
      </c>
      <c r="K181" s="2">
        <v>2396</v>
      </c>
      <c r="L181" s="2"/>
      <c r="M181" s="22"/>
      <c r="N181" s="43"/>
      <c r="O181" s="42"/>
      <c r="P181" s="42">
        <v>3030</v>
      </c>
      <c r="Q181" s="42"/>
      <c r="R181" s="42"/>
      <c r="S181" s="41">
        <v>450</v>
      </c>
      <c r="T181" s="41"/>
      <c r="U181" s="16">
        <f t="shared" si="14"/>
        <v>-450</v>
      </c>
      <c r="V181" s="45">
        <f t="shared" si="13"/>
        <v>-1</v>
      </c>
    </row>
    <row r="182" spans="1:22" x14ac:dyDescent="0.2">
      <c r="A182" s="3">
        <v>707306</v>
      </c>
      <c r="B182" s="3" t="s">
        <v>406</v>
      </c>
      <c r="C182" s="1">
        <v>772100</v>
      </c>
      <c r="D182" s="1" t="s">
        <v>145</v>
      </c>
      <c r="E182" s="2">
        <v>2591.9</v>
      </c>
      <c r="F182" s="2">
        <v>2624.95</v>
      </c>
      <c r="G182" s="2">
        <v>2270.7599999999998</v>
      </c>
      <c r="H182" s="2">
        <v>2185.34</v>
      </c>
      <c r="I182" s="2">
        <v>205.65</v>
      </c>
      <c r="J182" s="2">
        <v>4027.44</v>
      </c>
      <c r="K182" s="2">
        <v>2371.81</v>
      </c>
      <c r="L182" s="2">
        <v>3809.5499999999997</v>
      </c>
      <c r="M182" s="22">
        <v>1030.6500000000001</v>
      </c>
      <c r="N182" s="42">
        <v>1423.7</v>
      </c>
      <c r="O182" s="42">
        <v>5003.9500000000007</v>
      </c>
      <c r="P182" s="42">
        <v>6176.9000000000005</v>
      </c>
      <c r="Q182" s="42">
        <v>3920.98</v>
      </c>
      <c r="R182" s="39">
        <v>39544.04</v>
      </c>
      <c r="S182" s="41">
        <v>8975.0300000000007</v>
      </c>
      <c r="T182" s="41">
        <v>472</v>
      </c>
      <c r="U182" s="16">
        <f t="shared" si="14"/>
        <v>-8503.0300000000007</v>
      </c>
      <c r="V182" s="45">
        <f t="shared" si="13"/>
        <v>-0.94740964654157145</v>
      </c>
    </row>
    <row r="183" spans="1:22" x14ac:dyDescent="0.2">
      <c r="A183" s="3">
        <v>702201</v>
      </c>
      <c r="B183" s="3" t="s">
        <v>443</v>
      </c>
      <c r="C183" s="1">
        <v>772105</v>
      </c>
      <c r="D183" s="1" t="s">
        <v>146</v>
      </c>
      <c r="E183" s="2"/>
      <c r="F183" s="2"/>
      <c r="G183" s="2">
        <v>43.86</v>
      </c>
      <c r="H183" s="2"/>
      <c r="I183" s="2"/>
      <c r="J183" s="2"/>
      <c r="K183" s="2"/>
      <c r="L183" s="2"/>
      <c r="M183" s="22"/>
      <c r="N183" s="47"/>
      <c r="O183" s="42"/>
      <c r="P183" s="42"/>
      <c r="Q183" s="42"/>
      <c r="R183" s="42"/>
      <c r="S183" s="42"/>
      <c r="T183" s="42"/>
      <c r="U183" s="16">
        <f t="shared" si="14"/>
        <v>0</v>
      </c>
      <c r="V183" s="45" t="e">
        <f t="shared" si="13"/>
        <v>#DIV/0!</v>
      </c>
    </row>
    <row r="184" spans="1:22" x14ac:dyDescent="0.2">
      <c r="A184">
        <v>702203</v>
      </c>
      <c r="B184" t="s">
        <v>464</v>
      </c>
      <c r="C184" s="1"/>
      <c r="D184" s="1"/>
      <c r="E184" s="2"/>
      <c r="F184" s="2"/>
      <c r="G184" s="2"/>
      <c r="H184" s="2"/>
      <c r="I184" s="2"/>
      <c r="J184" s="2"/>
      <c r="K184" s="2"/>
      <c r="L184" s="2"/>
      <c r="M184" s="22"/>
      <c r="N184" s="47"/>
      <c r="O184" s="42"/>
      <c r="P184" s="42"/>
      <c r="Q184" s="42"/>
      <c r="R184" s="36">
        <v>3913</v>
      </c>
      <c r="S184" s="41">
        <v>11062.2</v>
      </c>
      <c r="T184" s="41">
        <v>1.9100000000000001</v>
      </c>
      <c r="U184" s="16">
        <f t="shared" si="14"/>
        <v>-11060.29</v>
      </c>
      <c r="V184" s="45">
        <f t="shared" si="13"/>
        <v>-0.99982733995046191</v>
      </c>
    </row>
    <row r="185" spans="1:22" x14ac:dyDescent="0.2">
      <c r="A185" s="3">
        <v>707502</v>
      </c>
      <c r="B185" s="3" t="s">
        <v>444</v>
      </c>
      <c r="C185" s="1">
        <v>772115</v>
      </c>
      <c r="D185" s="1" t="s">
        <v>147</v>
      </c>
      <c r="E185" s="2">
        <v>56444.57</v>
      </c>
      <c r="F185" s="2">
        <v>33979.83</v>
      </c>
      <c r="G185" s="2">
        <v>18761.460000000003</v>
      </c>
      <c r="H185" s="2">
        <v>15783.19</v>
      </c>
      <c r="I185" s="2">
        <v>3220.49</v>
      </c>
      <c r="J185" s="2">
        <v>11261.2</v>
      </c>
      <c r="K185" s="2">
        <v>27259.8</v>
      </c>
      <c r="L185" s="2">
        <v>265.33000000000004</v>
      </c>
      <c r="M185" s="22">
        <v>13652.91</v>
      </c>
      <c r="N185" s="42">
        <v>-1799.55</v>
      </c>
      <c r="O185" s="42">
        <v>5164.8700000000008</v>
      </c>
      <c r="P185" s="42">
        <v>224333.32</v>
      </c>
      <c r="Q185" s="42">
        <v>136867.88</v>
      </c>
      <c r="R185" s="39">
        <v>15567.06</v>
      </c>
      <c r="S185" s="41">
        <v>-3505.12</v>
      </c>
      <c r="T185" s="41">
        <v>-3783.59</v>
      </c>
      <c r="U185" s="16">
        <f t="shared" si="14"/>
        <v>-278.47000000000025</v>
      </c>
      <c r="V185" s="45">
        <f t="shared" si="13"/>
        <v>7.9446638060893859E-2</v>
      </c>
    </row>
    <row r="186" spans="1:22" x14ac:dyDescent="0.2">
      <c r="A186" s="3">
        <v>706501</v>
      </c>
      <c r="B186" s="3" t="s">
        <v>382</v>
      </c>
      <c r="C186" s="1">
        <v>772116</v>
      </c>
      <c r="D186" s="1" t="s">
        <v>148</v>
      </c>
      <c r="E186" s="2">
        <v>771.2</v>
      </c>
      <c r="F186" s="2">
        <v>1242.2</v>
      </c>
      <c r="G186" s="2"/>
      <c r="H186" s="2">
        <v>1686.5</v>
      </c>
      <c r="I186" s="2"/>
      <c r="J186" s="2"/>
      <c r="K186" s="2"/>
      <c r="L186" s="2"/>
      <c r="M186" s="22"/>
      <c r="N186" s="47"/>
      <c r="O186" s="22"/>
      <c r="P186" s="22"/>
      <c r="Q186" s="22"/>
      <c r="R186" s="22"/>
      <c r="S186" s="22"/>
      <c r="T186" s="22"/>
      <c r="U186" s="16">
        <f t="shared" si="14"/>
        <v>0</v>
      </c>
      <c r="V186" s="45" t="e">
        <f t="shared" si="13"/>
        <v>#DIV/0!</v>
      </c>
    </row>
    <row r="187" spans="1:22" x14ac:dyDescent="0.2">
      <c r="A187" s="3">
        <v>706502</v>
      </c>
      <c r="B187" s="3" t="s">
        <v>383</v>
      </c>
      <c r="C187" s="1">
        <v>772117</v>
      </c>
      <c r="D187" s="1" t="s">
        <v>149</v>
      </c>
      <c r="E187" s="2">
        <v>84246.21</v>
      </c>
      <c r="F187" s="2">
        <v>35474.89</v>
      </c>
      <c r="G187" s="2">
        <v>21162.36</v>
      </c>
      <c r="H187" s="2">
        <v>42657.26</v>
      </c>
      <c r="I187" s="2">
        <v>19049.46</v>
      </c>
      <c r="J187" s="2"/>
      <c r="K187" s="2"/>
      <c r="L187" s="2"/>
      <c r="M187" s="22"/>
      <c r="N187" s="47"/>
      <c r="O187" s="22"/>
      <c r="P187" s="42">
        <v>12917.48</v>
      </c>
      <c r="Q187" s="42">
        <v>39241.99</v>
      </c>
      <c r="R187" s="39">
        <v>18109.010000000002</v>
      </c>
      <c r="S187" s="41">
        <v>1781.65</v>
      </c>
      <c r="T187" s="41"/>
      <c r="U187" s="16">
        <f t="shared" si="14"/>
        <v>-1781.65</v>
      </c>
      <c r="V187" s="45">
        <f t="shared" si="13"/>
        <v>-1</v>
      </c>
    </row>
    <row r="188" spans="1:22" x14ac:dyDescent="0.2">
      <c r="A188" s="3">
        <v>707301</v>
      </c>
      <c r="B188" s="3" t="s">
        <v>402</v>
      </c>
      <c r="C188" s="1">
        <v>772120</v>
      </c>
      <c r="D188" s="1" t="s">
        <v>150</v>
      </c>
      <c r="E188" s="2">
        <v>990.2</v>
      </c>
      <c r="F188" s="2">
        <v>1343.87</v>
      </c>
      <c r="G188" s="2">
        <v>2835.2500000000005</v>
      </c>
      <c r="H188" s="2">
        <v>2101.92</v>
      </c>
      <c r="I188" s="2">
        <v>4477.1100000000006</v>
      </c>
      <c r="J188" s="2">
        <v>3411.73</v>
      </c>
      <c r="K188" s="2">
        <v>7800.630000000001</v>
      </c>
      <c r="L188" s="2">
        <v>6881.93</v>
      </c>
      <c r="M188" s="22">
        <v>2952.02</v>
      </c>
      <c r="N188" s="42">
        <v>2213.91</v>
      </c>
      <c r="O188" s="42">
        <v>3640.7300000000005</v>
      </c>
      <c r="P188" s="42">
        <v>3488.3999999999996</v>
      </c>
      <c r="Q188" s="42">
        <v>2746.76</v>
      </c>
      <c r="R188" s="39">
        <v>8169.7299999999987</v>
      </c>
      <c r="S188" s="41">
        <v>13151.23</v>
      </c>
      <c r="T188" s="41">
        <v>5445.09</v>
      </c>
      <c r="U188" s="16">
        <f t="shared" si="14"/>
        <v>-7706.1399999999994</v>
      </c>
      <c r="V188" s="45">
        <f t="shared" si="13"/>
        <v>-0.58596344220274454</v>
      </c>
    </row>
    <row r="189" spans="1:22" x14ac:dyDescent="0.2">
      <c r="A189" s="3">
        <v>702200</v>
      </c>
      <c r="B189" s="3" t="s">
        <v>74</v>
      </c>
      <c r="C189" s="1">
        <v>772125</v>
      </c>
      <c r="D189" s="1" t="s">
        <v>151</v>
      </c>
      <c r="E189" s="2">
        <v>1274.8</v>
      </c>
      <c r="F189" s="2"/>
      <c r="G189" s="2"/>
      <c r="H189" s="2">
        <v>171</v>
      </c>
      <c r="I189" s="2">
        <v>22.01</v>
      </c>
      <c r="J189" s="2">
        <v>190.70000000000002</v>
      </c>
      <c r="K189" s="2">
        <v>349.66</v>
      </c>
      <c r="L189" s="2">
        <v>441.01</v>
      </c>
      <c r="M189" s="22">
        <v>2632.13</v>
      </c>
      <c r="N189" s="42">
        <v>688.23</v>
      </c>
      <c r="O189" s="42">
        <v>1460.5600000000002</v>
      </c>
      <c r="P189" s="42">
        <v>261.8</v>
      </c>
      <c r="Q189" s="42">
        <v>5396.58</v>
      </c>
      <c r="R189" s="42"/>
      <c r="S189" s="42"/>
      <c r="T189" s="42"/>
      <c r="U189" s="16">
        <f t="shared" si="14"/>
        <v>0</v>
      </c>
      <c r="V189" s="45" t="e">
        <f t="shared" si="13"/>
        <v>#DIV/0!</v>
      </c>
    </row>
    <row r="190" spans="1:22" x14ac:dyDescent="0.2">
      <c r="A190" s="3">
        <v>707304</v>
      </c>
      <c r="B190" s="3" t="s">
        <v>404</v>
      </c>
      <c r="C190" s="1">
        <v>772135</v>
      </c>
      <c r="D190" s="1" t="s">
        <v>152</v>
      </c>
      <c r="E190" s="2">
        <v>49836.67</v>
      </c>
      <c r="F190" s="2">
        <v>52902.999999999993</v>
      </c>
      <c r="G190" s="2">
        <v>53051.549999999996</v>
      </c>
      <c r="H190" s="2">
        <v>48789.27</v>
      </c>
      <c r="I190" s="2">
        <v>49249.02</v>
      </c>
      <c r="J190" s="2">
        <v>60722.1</v>
      </c>
      <c r="K190" s="2">
        <v>64542.12</v>
      </c>
      <c r="L190" s="2">
        <v>63444.55</v>
      </c>
      <c r="M190" s="22">
        <v>49083.199999999997</v>
      </c>
      <c r="N190" s="42">
        <v>60532.2</v>
      </c>
      <c r="O190" s="42">
        <v>82597.78</v>
      </c>
      <c r="P190" s="42">
        <v>54520.070000000007</v>
      </c>
      <c r="Q190" s="42">
        <v>109361.55</v>
      </c>
      <c r="R190" s="39">
        <v>96151.96</v>
      </c>
      <c r="S190" s="41">
        <v>73282.500000000015</v>
      </c>
      <c r="T190" s="41">
        <v>41640.43</v>
      </c>
      <c r="U190" s="16">
        <f t="shared" si="14"/>
        <v>-31642.070000000014</v>
      </c>
      <c r="V190" s="45">
        <f t="shared" si="13"/>
        <v>-0.43178207621191972</v>
      </c>
    </row>
    <row r="191" spans="1:22" x14ac:dyDescent="0.2">
      <c r="A191" s="3">
        <v>707309</v>
      </c>
      <c r="B191" s="3" t="s">
        <v>408</v>
      </c>
      <c r="C191" s="1">
        <v>772140</v>
      </c>
      <c r="D191" s="1" t="s">
        <v>153</v>
      </c>
      <c r="E191" s="2">
        <v>36530.35</v>
      </c>
      <c r="F191" s="2">
        <v>38995.990000000005</v>
      </c>
      <c r="G191" s="2">
        <v>51505.780000000013</v>
      </c>
      <c r="H191" s="2">
        <v>46637.450000000012</v>
      </c>
      <c r="I191" s="2">
        <v>68566.03</v>
      </c>
      <c r="J191" s="2">
        <v>59571.66</v>
      </c>
      <c r="K191" s="2">
        <v>98229.090000000011</v>
      </c>
      <c r="L191" s="2">
        <v>62935.7</v>
      </c>
      <c r="M191" s="22">
        <v>71618.530000000028</v>
      </c>
      <c r="N191" s="42">
        <v>50033.94</v>
      </c>
      <c r="O191" s="42">
        <v>56843.97</v>
      </c>
      <c r="P191" s="42">
        <v>53119.070000000007</v>
      </c>
      <c r="Q191" s="42">
        <v>69360.14</v>
      </c>
      <c r="R191" s="39">
        <v>67850.510000000009</v>
      </c>
      <c r="S191" s="41">
        <v>48709.409999999989</v>
      </c>
      <c r="T191" s="41">
        <v>42521.649999999994</v>
      </c>
      <c r="U191" s="16">
        <f t="shared" si="14"/>
        <v>-6187.7599999999948</v>
      </c>
      <c r="V191" s="45">
        <f t="shared" si="13"/>
        <v>-0.12703418086977436</v>
      </c>
    </row>
    <row r="192" spans="1:22" x14ac:dyDescent="0.2">
      <c r="A192" s="3">
        <v>707307</v>
      </c>
      <c r="B192" s="3" t="s">
        <v>407</v>
      </c>
      <c r="C192" s="1">
        <v>772150</v>
      </c>
      <c r="D192" s="1" t="s">
        <v>154</v>
      </c>
      <c r="E192" s="2"/>
      <c r="F192" s="2">
        <v>5786.51</v>
      </c>
      <c r="G192" s="2">
        <v>3610.8900000000003</v>
      </c>
      <c r="H192" s="2">
        <v>7235.93</v>
      </c>
      <c r="I192" s="2">
        <v>220.48000000000002</v>
      </c>
      <c r="J192" s="2">
        <v>345.71</v>
      </c>
      <c r="K192" s="2">
        <v>1852.46</v>
      </c>
      <c r="L192" s="2">
        <v>2183.92</v>
      </c>
      <c r="M192" s="22">
        <v>1705.46</v>
      </c>
      <c r="N192" s="42">
        <v>4204.49</v>
      </c>
      <c r="O192" s="42">
        <v>2392.98</v>
      </c>
      <c r="P192" s="42">
        <v>5978.6900000000005</v>
      </c>
      <c r="Q192" s="42">
        <v>9526.6200000000008</v>
      </c>
      <c r="R192" s="39">
        <v>8272.61</v>
      </c>
      <c r="S192" s="41">
        <v>606.5</v>
      </c>
      <c r="T192" s="41">
        <v>758.5</v>
      </c>
      <c r="U192" s="16">
        <f t="shared" si="14"/>
        <v>152</v>
      </c>
      <c r="V192" s="45">
        <f t="shared" si="13"/>
        <v>0.25061830173124483</v>
      </c>
    </row>
    <row r="193" spans="1:22" x14ac:dyDescent="0.2">
      <c r="A193" s="3">
        <v>707350</v>
      </c>
      <c r="B193" s="3" t="s">
        <v>409</v>
      </c>
      <c r="C193" s="1">
        <v>773100</v>
      </c>
      <c r="D193" s="1" t="s">
        <v>155</v>
      </c>
      <c r="E193" s="2">
        <v>6960</v>
      </c>
      <c r="F193" s="2">
        <v>12565</v>
      </c>
      <c r="G193" s="2">
        <v>12748.33</v>
      </c>
      <c r="H193" s="2">
        <v>7242.88</v>
      </c>
      <c r="I193" s="2">
        <v>5161.6000000000004</v>
      </c>
      <c r="J193" s="2">
        <v>5742.15</v>
      </c>
      <c r="K193" s="2">
        <v>4595.7</v>
      </c>
      <c r="L193" s="2">
        <v>27253.07</v>
      </c>
      <c r="M193" s="22">
        <v>4877.5599999999995</v>
      </c>
      <c r="N193" s="42">
        <v>6563.59</v>
      </c>
      <c r="O193" s="42">
        <v>6100.3899999999994</v>
      </c>
      <c r="P193" s="42">
        <v>9683.9200000000073</v>
      </c>
      <c r="Q193" s="42">
        <v>9453.6299999999992</v>
      </c>
      <c r="R193" s="39">
        <v>11696.860000000002</v>
      </c>
      <c r="S193" s="41">
        <v>5588.6799999999994</v>
      </c>
      <c r="T193" s="41">
        <v>4146.5400000000009</v>
      </c>
      <c r="U193" s="16">
        <f t="shared" si="14"/>
        <v>-1442.1399999999985</v>
      </c>
      <c r="V193" s="45">
        <f t="shared" si="13"/>
        <v>-0.2580466228161209</v>
      </c>
    </row>
    <row r="194" spans="1:22" x14ac:dyDescent="0.2">
      <c r="A194" s="3">
        <v>707350</v>
      </c>
      <c r="B194" s="3" t="s">
        <v>409</v>
      </c>
      <c r="C194" s="1">
        <v>773110</v>
      </c>
      <c r="D194" s="1" t="s">
        <v>156</v>
      </c>
      <c r="E194" s="2">
        <v>5782</v>
      </c>
      <c r="F194" s="2">
        <v>1134.75</v>
      </c>
      <c r="G194" s="2">
        <v>650</v>
      </c>
      <c r="H194" s="2">
        <v>2450</v>
      </c>
      <c r="I194" s="2">
        <v>857.5</v>
      </c>
      <c r="J194" s="2">
        <v>510</v>
      </c>
      <c r="K194" s="2">
        <v>500</v>
      </c>
      <c r="L194" s="2">
        <v>4690.95</v>
      </c>
      <c r="M194" s="22">
        <v>-544</v>
      </c>
      <c r="N194" s="42">
        <v>1082.01</v>
      </c>
      <c r="O194" s="42">
        <v>2529.6000000000004</v>
      </c>
      <c r="P194" s="42">
        <v>2382</v>
      </c>
      <c r="Q194" s="42"/>
      <c r="R194" s="42"/>
      <c r="S194" s="42"/>
      <c r="T194" s="42"/>
      <c r="U194" s="16">
        <f t="shared" si="14"/>
        <v>0</v>
      </c>
      <c r="V194" s="45" t="e">
        <f t="shared" si="13"/>
        <v>#DIV/0!</v>
      </c>
    </row>
    <row r="195" spans="1:22" x14ac:dyDescent="0.2">
      <c r="A195" s="3">
        <v>707403</v>
      </c>
      <c r="B195" s="3" t="s">
        <v>410</v>
      </c>
      <c r="C195" s="1">
        <v>773115</v>
      </c>
      <c r="D195" s="1" t="s">
        <v>157</v>
      </c>
      <c r="E195" s="2">
        <v>1347.3400000000001</v>
      </c>
      <c r="F195" s="2">
        <v>10.239999999999981</v>
      </c>
      <c r="G195" s="2">
        <v>269.18</v>
      </c>
      <c r="H195" s="2">
        <v>1380.94</v>
      </c>
      <c r="I195" s="2">
        <v>11.9</v>
      </c>
      <c r="J195" s="2">
        <v>561.54999999999995</v>
      </c>
      <c r="K195" s="2">
        <v>101.09</v>
      </c>
      <c r="L195" s="2">
        <v>303.60000000000002</v>
      </c>
      <c r="M195" s="22">
        <v>32.25</v>
      </c>
      <c r="N195" s="42">
        <v>353.24</v>
      </c>
      <c r="O195" s="42">
        <v>9.5500000000000007</v>
      </c>
      <c r="P195" s="42">
        <v>170.17000000000002</v>
      </c>
      <c r="Q195" s="42">
        <v>205.14</v>
      </c>
      <c r="R195" s="39">
        <v>507.61</v>
      </c>
      <c r="S195" s="41">
        <v>412</v>
      </c>
      <c r="T195" s="41">
        <v>375</v>
      </c>
      <c r="U195" s="16">
        <f t="shared" si="14"/>
        <v>-37</v>
      </c>
      <c r="V195" s="45">
        <f t="shared" si="13"/>
        <v>-8.9805825242718448E-2</v>
      </c>
    </row>
    <row r="196" spans="1:22" x14ac:dyDescent="0.2">
      <c r="A196" s="3">
        <v>707400</v>
      </c>
      <c r="B196" s="3" t="s">
        <v>158</v>
      </c>
      <c r="C196" s="1">
        <v>773120</v>
      </c>
      <c r="D196" s="1" t="s">
        <v>158</v>
      </c>
      <c r="E196" s="2">
        <v>23088.690000000002</v>
      </c>
      <c r="F196" s="2">
        <v>18736.810000000001</v>
      </c>
      <c r="G196" s="2">
        <v>21272.329999999998</v>
      </c>
      <c r="H196" s="2">
        <v>21565.750000000004</v>
      </c>
      <c r="I196" s="2">
        <v>19759.87</v>
      </c>
      <c r="J196" s="2">
        <v>18160.84</v>
      </c>
      <c r="K196" s="2">
        <v>19878.029999999995</v>
      </c>
      <c r="L196" s="2">
        <v>16736.3</v>
      </c>
      <c r="M196" s="22">
        <v>16115.949999999999</v>
      </c>
      <c r="N196" s="42">
        <v>13124.690000000006</v>
      </c>
      <c r="O196" s="42">
        <v>11027.190000000002</v>
      </c>
      <c r="P196" s="42">
        <v>10611.15</v>
      </c>
      <c r="Q196" s="42">
        <v>10803.6</v>
      </c>
      <c r="R196" s="39">
        <v>10919.289999999995</v>
      </c>
      <c r="S196" s="41">
        <v>5562.6800000000021</v>
      </c>
      <c r="T196" s="41">
        <v>4623.4400000000005</v>
      </c>
      <c r="U196" s="16">
        <f t="shared" si="14"/>
        <v>-939.2400000000016</v>
      </c>
      <c r="V196" s="45">
        <f t="shared" si="13"/>
        <v>-0.16884667102907255</v>
      </c>
    </row>
    <row r="197" spans="1:22" x14ac:dyDescent="0.2">
      <c r="A197" s="3">
        <v>702105</v>
      </c>
      <c r="B197" s="3" t="s">
        <v>350</v>
      </c>
      <c r="C197" s="1">
        <v>773125</v>
      </c>
      <c r="D197" s="1" t="s">
        <v>159</v>
      </c>
      <c r="E197" s="2">
        <v>3300</v>
      </c>
      <c r="F197" s="2">
        <v>9040</v>
      </c>
      <c r="G197" s="2">
        <v>8820</v>
      </c>
      <c r="H197" s="2">
        <v>6749</v>
      </c>
      <c r="I197" s="2">
        <v>7313</v>
      </c>
      <c r="J197" s="2">
        <v>8640</v>
      </c>
      <c r="K197" s="2">
        <v>7334.8</v>
      </c>
      <c r="L197" s="2">
        <v>3280</v>
      </c>
      <c r="M197" s="22">
        <v>4794</v>
      </c>
      <c r="N197" s="42">
        <v>4754</v>
      </c>
      <c r="O197" s="42">
        <v>3905.99</v>
      </c>
      <c r="P197" s="42">
        <v>4400</v>
      </c>
      <c r="Q197" s="42">
        <v>2113</v>
      </c>
      <c r="R197" s="39">
        <v>9143</v>
      </c>
      <c r="S197" s="41">
        <v>2775</v>
      </c>
      <c r="T197" s="41">
        <v>600</v>
      </c>
      <c r="U197" s="16">
        <f t="shared" si="14"/>
        <v>-2175</v>
      </c>
      <c r="V197" s="45">
        <f t="shared" si="13"/>
        <v>-0.78378378378378377</v>
      </c>
    </row>
    <row r="198" spans="1:22" x14ac:dyDescent="0.2">
      <c r="A198" s="3">
        <v>707505</v>
      </c>
      <c r="B198" s="3" t="s">
        <v>413</v>
      </c>
      <c r="C198" s="1">
        <v>773130</v>
      </c>
      <c r="D198" s="1" t="s">
        <v>160</v>
      </c>
      <c r="E198" s="2">
        <v>1585.71</v>
      </c>
      <c r="F198" s="2">
        <v>2590.3199999999997</v>
      </c>
      <c r="G198" s="2">
        <v>2933.91</v>
      </c>
      <c r="H198" s="2">
        <v>2574.6000000000004</v>
      </c>
      <c r="I198" s="2">
        <v>3483.63</v>
      </c>
      <c r="J198" s="2">
        <v>3985.1000000000004</v>
      </c>
      <c r="K198" s="2">
        <v>3769.98</v>
      </c>
      <c r="L198" s="2">
        <v>3130.92</v>
      </c>
      <c r="M198" s="22">
        <v>4210.46</v>
      </c>
      <c r="N198" s="42">
        <v>2925.36</v>
      </c>
      <c r="O198" s="42">
        <v>3910.11</v>
      </c>
      <c r="P198" s="42">
        <v>2030.1599999999999</v>
      </c>
      <c r="Q198" s="42">
        <v>3885.4</v>
      </c>
      <c r="R198" s="39">
        <v>1830.9</v>
      </c>
      <c r="S198" s="41">
        <v>685.25</v>
      </c>
      <c r="T198" s="41"/>
      <c r="U198" s="16">
        <f t="shared" si="14"/>
        <v>-685.25</v>
      </c>
      <c r="V198" s="45">
        <f t="shared" si="13"/>
        <v>-1</v>
      </c>
    </row>
    <row r="199" spans="1:22" x14ac:dyDescent="0.2">
      <c r="A199" s="3">
        <v>707505</v>
      </c>
      <c r="B199" s="3" t="s">
        <v>413</v>
      </c>
      <c r="C199" s="1">
        <v>773135</v>
      </c>
      <c r="D199" s="1" t="s">
        <v>161</v>
      </c>
      <c r="E199" s="2">
        <v>83.99</v>
      </c>
      <c r="F199" s="2"/>
      <c r="G199" s="2">
        <v>6619.4999999999991</v>
      </c>
      <c r="H199" s="2">
        <v>2157.87</v>
      </c>
      <c r="I199" s="2">
        <v>2714.2</v>
      </c>
      <c r="J199" s="2">
        <v>-13.379999999999882</v>
      </c>
      <c r="K199" s="2">
        <v>2333.0700000000002</v>
      </c>
      <c r="L199" s="2">
        <v>1188.8499999999999</v>
      </c>
      <c r="M199" s="22">
        <v>373.7</v>
      </c>
      <c r="N199" s="42">
        <v>1103.17</v>
      </c>
      <c r="O199" s="42">
        <v>551.79</v>
      </c>
      <c r="P199" s="42">
        <v>638.71</v>
      </c>
      <c r="Q199" s="42"/>
      <c r="R199" s="42"/>
      <c r="S199" s="42"/>
      <c r="T199" s="42"/>
      <c r="U199" s="16">
        <f t="shared" si="14"/>
        <v>0</v>
      </c>
      <c r="V199" s="45" t="e">
        <f t="shared" si="13"/>
        <v>#DIV/0!</v>
      </c>
    </row>
    <row r="200" spans="1:22" x14ac:dyDescent="0.2">
      <c r="A200" s="3">
        <v>707452</v>
      </c>
      <c r="B200" s="3" t="s">
        <v>412</v>
      </c>
      <c r="C200" s="1">
        <v>773141</v>
      </c>
      <c r="D200" s="1" t="s">
        <v>162</v>
      </c>
      <c r="E200" s="2">
        <v>4499.6000000000004</v>
      </c>
      <c r="F200" s="2">
        <v>15020.359999999999</v>
      </c>
      <c r="G200" s="2">
        <v>22373.66</v>
      </c>
      <c r="H200" s="2">
        <v>9446.9500000000007</v>
      </c>
      <c r="I200" s="2">
        <v>518.26</v>
      </c>
      <c r="J200" s="2">
        <v>310</v>
      </c>
      <c r="K200" s="2"/>
      <c r="L200" s="2"/>
      <c r="M200" s="22">
        <v>172.77</v>
      </c>
      <c r="N200" s="42">
        <v>387</v>
      </c>
      <c r="O200" s="22"/>
      <c r="P200" s="22"/>
      <c r="Q200" s="42">
        <v>286.8</v>
      </c>
      <c r="R200" s="39">
        <v>46.2</v>
      </c>
      <c r="S200" s="41">
        <v>487.20000000000005</v>
      </c>
      <c r="T200" s="41"/>
      <c r="U200" s="16">
        <f t="shared" si="14"/>
        <v>-487.20000000000005</v>
      </c>
      <c r="V200" s="45">
        <f t="shared" si="13"/>
        <v>-1</v>
      </c>
    </row>
    <row r="201" spans="1:22" x14ac:dyDescent="0.2">
      <c r="A201" s="3">
        <v>707450</v>
      </c>
      <c r="B201" s="3" t="s">
        <v>411</v>
      </c>
      <c r="C201" s="1">
        <v>773144</v>
      </c>
      <c r="D201" s="1" t="s">
        <v>163</v>
      </c>
      <c r="E201" s="2">
        <v>236.9</v>
      </c>
      <c r="F201" s="2">
        <v>929</v>
      </c>
      <c r="G201" s="2"/>
      <c r="H201" s="2"/>
      <c r="I201" s="2"/>
      <c r="J201" s="2"/>
      <c r="K201" s="2"/>
      <c r="L201" s="2"/>
      <c r="M201" s="22"/>
      <c r="N201" s="22"/>
      <c r="O201" s="22"/>
      <c r="P201" s="22"/>
      <c r="Q201" s="22"/>
      <c r="R201" s="22"/>
      <c r="S201" s="22"/>
      <c r="T201" s="22"/>
      <c r="U201" s="16">
        <f t="shared" si="14"/>
        <v>0</v>
      </c>
      <c r="V201" s="45" t="e">
        <f t="shared" si="13"/>
        <v>#DIV/0!</v>
      </c>
    </row>
    <row r="202" spans="1:22" x14ac:dyDescent="0.2">
      <c r="A202" s="3">
        <v>707451</v>
      </c>
      <c r="B202" s="3" t="s">
        <v>446</v>
      </c>
      <c r="C202" s="57">
        <v>773145</v>
      </c>
      <c r="D202" s="57" t="s">
        <v>198</v>
      </c>
      <c r="E202" s="2"/>
      <c r="F202" s="2"/>
      <c r="G202" s="2"/>
      <c r="H202" s="2"/>
      <c r="I202" s="2"/>
      <c r="J202" s="2"/>
      <c r="K202" s="2"/>
      <c r="L202" s="2"/>
      <c r="M202" s="22">
        <v>15133.04</v>
      </c>
      <c r="N202" s="22"/>
      <c r="O202" s="22"/>
      <c r="P202" s="22"/>
      <c r="Q202" s="22"/>
      <c r="R202" s="22"/>
      <c r="S202" s="22"/>
      <c r="T202" s="22"/>
      <c r="U202" s="16">
        <f t="shared" si="14"/>
        <v>0</v>
      </c>
      <c r="V202" s="45" t="e">
        <f t="shared" si="13"/>
        <v>#DIV/0!</v>
      </c>
    </row>
    <row r="203" spans="1:22" x14ac:dyDescent="0.2">
      <c r="A203">
        <v>707402</v>
      </c>
      <c r="B203" t="s">
        <v>447</v>
      </c>
      <c r="C203" s="57"/>
      <c r="D203" s="57"/>
      <c r="E203" s="2"/>
      <c r="F203" s="2"/>
      <c r="G203" s="2"/>
      <c r="H203" s="2"/>
      <c r="I203" s="2"/>
      <c r="J203" s="2"/>
      <c r="K203" s="2"/>
      <c r="L203" s="2"/>
      <c r="M203" s="22"/>
      <c r="N203" s="22"/>
      <c r="O203" s="22"/>
      <c r="P203" s="22"/>
      <c r="Q203" s="22"/>
      <c r="R203" s="39">
        <v>37.85</v>
      </c>
      <c r="S203" s="39"/>
      <c r="T203" s="39">
        <v>77.84</v>
      </c>
      <c r="U203" s="16">
        <f t="shared" si="14"/>
        <v>77.84</v>
      </c>
      <c r="V203" s="45" t="e">
        <f t="shared" si="13"/>
        <v>#DIV/0!</v>
      </c>
    </row>
    <row r="204" spans="1:22" x14ac:dyDescent="0.2">
      <c r="A204" s="78">
        <v>702101</v>
      </c>
      <c r="B204" s="72" t="s">
        <v>477</v>
      </c>
      <c r="C204" s="57"/>
      <c r="D204" s="57"/>
      <c r="E204" s="2"/>
      <c r="F204" s="2"/>
      <c r="G204" s="2"/>
      <c r="H204" s="2"/>
      <c r="I204" s="2"/>
      <c r="J204" s="2"/>
      <c r="K204" s="2"/>
      <c r="L204" s="2"/>
      <c r="M204" s="22"/>
      <c r="N204" s="22"/>
      <c r="O204" s="22"/>
      <c r="P204" s="22"/>
      <c r="Q204" s="22"/>
      <c r="R204" s="39"/>
      <c r="S204" s="39"/>
      <c r="T204" s="39">
        <v>4932.8999999999996</v>
      </c>
      <c r="U204" s="16">
        <f t="shared" si="14"/>
        <v>4932.8999999999996</v>
      </c>
      <c r="V204" s="45" t="e">
        <f t="shared" si="13"/>
        <v>#DIV/0!</v>
      </c>
    </row>
    <row r="205" spans="1:22" x14ac:dyDescent="0.2">
      <c r="A205" s="3">
        <v>702102</v>
      </c>
      <c r="B205" s="3" t="s">
        <v>348</v>
      </c>
      <c r="C205" s="57"/>
      <c r="D205" s="57"/>
      <c r="E205" s="2"/>
      <c r="F205" s="2"/>
      <c r="G205" s="2"/>
      <c r="H205" s="2"/>
      <c r="I205" s="2"/>
      <c r="J205" s="2"/>
      <c r="K205" s="2"/>
      <c r="L205" s="2"/>
      <c r="M205" s="22"/>
      <c r="N205" s="22"/>
      <c r="O205" s="22"/>
      <c r="P205" s="22"/>
      <c r="Q205" s="22"/>
      <c r="R205" s="39">
        <v>1259</v>
      </c>
      <c r="S205" s="41">
        <v>360.16</v>
      </c>
      <c r="T205" s="41">
        <v>255.41</v>
      </c>
      <c r="U205" s="16">
        <f t="shared" si="14"/>
        <v>-104.75000000000003</v>
      </c>
      <c r="V205" s="45">
        <f t="shared" si="13"/>
        <v>-0.29084295868502891</v>
      </c>
    </row>
    <row r="206" spans="1:22" x14ac:dyDescent="0.2">
      <c r="A206" s="3">
        <v>707590</v>
      </c>
      <c r="B206" s="3" t="s">
        <v>415</v>
      </c>
      <c r="C206" s="1">
        <v>774120</v>
      </c>
      <c r="D206" s="1" t="s">
        <v>164</v>
      </c>
      <c r="E206" s="2">
        <v>6363.7</v>
      </c>
      <c r="F206" s="2">
        <v>249.23000000000002</v>
      </c>
      <c r="G206" s="2">
        <v>5711.47</v>
      </c>
      <c r="H206" s="2">
        <v>5303.94</v>
      </c>
      <c r="I206" s="2">
        <v>3264.14</v>
      </c>
      <c r="J206" s="2">
        <v>12288.72</v>
      </c>
      <c r="K206" s="2">
        <v>12207.97</v>
      </c>
      <c r="L206" s="2">
        <v>14033.93</v>
      </c>
      <c r="M206" s="22"/>
      <c r="N206" s="22"/>
      <c r="O206" s="22"/>
      <c r="P206" s="22"/>
      <c r="Q206" s="22"/>
      <c r="R206" s="39">
        <v>3644.9500000000003</v>
      </c>
      <c r="S206" s="41">
        <v>6777.2</v>
      </c>
      <c r="T206" s="41">
        <v>8184.7300000000005</v>
      </c>
      <c r="U206" s="16">
        <f t="shared" si="14"/>
        <v>1407.5300000000007</v>
      </c>
      <c r="V206" s="45">
        <f t="shared" si="13"/>
        <v>0.20768606504161022</v>
      </c>
    </row>
    <row r="207" spans="1:22" x14ac:dyDescent="0.2">
      <c r="A207" s="3">
        <v>708025</v>
      </c>
      <c r="B207" s="3" t="s">
        <v>448</v>
      </c>
      <c r="C207" s="1">
        <v>781100</v>
      </c>
      <c r="D207" s="1" t="s">
        <v>165</v>
      </c>
      <c r="E207" s="2">
        <v>20039.46</v>
      </c>
      <c r="F207" s="2">
        <v>3194.9400000000005</v>
      </c>
      <c r="G207" s="2">
        <v>5686.8</v>
      </c>
      <c r="H207" s="2">
        <v>1074.82</v>
      </c>
      <c r="I207" s="2"/>
      <c r="J207" s="2"/>
      <c r="K207" s="2"/>
      <c r="L207" s="2"/>
      <c r="M207" s="22"/>
      <c r="N207" s="22"/>
      <c r="O207" s="22"/>
      <c r="P207" s="22"/>
      <c r="Q207" s="22"/>
      <c r="R207" s="22"/>
      <c r="S207" s="22"/>
      <c r="T207" s="22"/>
      <c r="U207" s="16">
        <f t="shared" si="14"/>
        <v>0</v>
      </c>
      <c r="V207" s="45" t="e">
        <f t="shared" si="13"/>
        <v>#DIV/0!</v>
      </c>
    </row>
    <row r="208" spans="1:22" x14ac:dyDescent="0.2">
      <c r="A208" s="3">
        <v>708021</v>
      </c>
      <c r="B208" s="3" t="s">
        <v>417</v>
      </c>
      <c r="C208" s="1">
        <v>784202</v>
      </c>
      <c r="D208" s="1" t="s">
        <v>166</v>
      </c>
      <c r="E208" s="2"/>
      <c r="F208" s="2"/>
      <c r="G208" s="2">
        <v>1750</v>
      </c>
      <c r="H208" s="2"/>
      <c r="I208" s="2">
        <v>8643.15</v>
      </c>
      <c r="J208" s="2">
        <v>7434.88</v>
      </c>
      <c r="K208" s="2">
        <v>28763.91</v>
      </c>
      <c r="L208" s="2">
        <v>12590.66</v>
      </c>
      <c r="M208" s="22">
        <v>6826.49</v>
      </c>
      <c r="N208" s="22"/>
      <c r="O208" s="22"/>
      <c r="P208" s="22"/>
      <c r="Q208" s="22"/>
      <c r="R208" s="22"/>
      <c r="S208" s="22"/>
      <c r="T208" s="22"/>
      <c r="U208" s="16">
        <f t="shared" si="14"/>
        <v>0</v>
      </c>
      <c r="V208" s="45" t="e">
        <f t="shared" si="13"/>
        <v>#DIV/0!</v>
      </c>
    </row>
    <row r="209" spans="1:22" x14ac:dyDescent="0.2">
      <c r="A209" s="3">
        <v>708023</v>
      </c>
      <c r="B209" s="3" t="s">
        <v>418</v>
      </c>
      <c r="C209" s="1">
        <v>784203</v>
      </c>
      <c r="D209" s="1" t="s">
        <v>167</v>
      </c>
      <c r="E209" s="2"/>
      <c r="F209" s="2"/>
      <c r="G209" s="2"/>
      <c r="H209" s="2"/>
      <c r="I209" s="2">
        <v>2073</v>
      </c>
      <c r="J209" s="2"/>
      <c r="K209" s="2"/>
      <c r="L209" s="2"/>
      <c r="M209" s="22"/>
      <c r="N209" s="22"/>
      <c r="O209" s="22"/>
      <c r="P209" s="22"/>
      <c r="Q209" s="22"/>
      <c r="R209" s="22"/>
      <c r="S209" s="22"/>
      <c r="T209" s="22"/>
      <c r="U209" s="16">
        <f t="shared" si="14"/>
        <v>0</v>
      </c>
      <c r="V209" s="45" t="e">
        <f t="shared" si="13"/>
        <v>#DIV/0!</v>
      </c>
    </row>
    <row r="210" spans="1:22" x14ac:dyDescent="0.2">
      <c r="A210" s="3">
        <v>708061</v>
      </c>
      <c r="B210" s="3" t="s">
        <v>422</v>
      </c>
      <c r="C210" s="1">
        <v>784302</v>
      </c>
      <c r="D210" s="1" t="s">
        <v>168</v>
      </c>
      <c r="E210" s="2">
        <v>2573</v>
      </c>
      <c r="F210" s="2"/>
      <c r="G210" s="2"/>
      <c r="H210" s="2"/>
      <c r="I210" s="2"/>
      <c r="J210" s="2">
        <v>6877.44</v>
      </c>
      <c r="K210" s="2">
        <v>1637</v>
      </c>
      <c r="L210" s="2">
        <v>1643.07</v>
      </c>
      <c r="M210" s="22"/>
      <c r="N210" s="22"/>
      <c r="O210" s="22"/>
      <c r="P210" s="22"/>
      <c r="Q210" s="22"/>
      <c r="R210" s="22"/>
      <c r="S210" s="22"/>
      <c r="T210" s="22"/>
      <c r="U210" s="16">
        <f t="shared" si="14"/>
        <v>0</v>
      </c>
      <c r="V210" s="45" t="e">
        <f t="shared" si="13"/>
        <v>#DIV/0!</v>
      </c>
    </row>
    <row r="211" spans="1:22" x14ac:dyDescent="0.2">
      <c r="A211" s="3">
        <v>708063</v>
      </c>
      <c r="B211" s="3" t="s">
        <v>423</v>
      </c>
      <c r="C211" s="1">
        <v>784304</v>
      </c>
      <c r="D211" s="1" t="s">
        <v>169</v>
      </c>
      <c r="E211" s="2">
        <v>15939.920000000002</v>
      </c>
      <c r="F211" s="2"/>
      <c r="G211" s="2">
        <v>1174</v>
      </c>
      <c r="H211" s="2">
        <v>25713.1</v>
      </c>
      <c r="I211" s="2">
        <v>5931.8</v>
      </c>
      <c r="J211" s="2">
        <v>15869.14</v>
      </c>
      <c r="K211" s="2">
        <v>10601.18</v>
      </c>
      <c r="L211" s="2">
        <v>4462.3999999999996</v>
      </c>
      <c r="M211" s="22">
        <v>1286.73</v>
      </c>
      <c r="N211" s="42">
        <v>4627.4000000000005</v>
      </c>
      <c r="O211" s="22"/>
      <c r="P211" s="22"/>
      <c r="Q211" s="42">
        <v>92242.68</v>
      </c>
      <c r="R211" s="42"/>
      <c r="S211" s="42"/>
      <c r="T211" s="42"/>
      <c r="U211" s="16">
        <f t="shared" si="14"/>
        <v>0</v>
      </c>
      <c r="V211" s="45" t="e">
        <f t="shared" si="13"/>
        <v>#DIV/0!</v>
      </c>
    </row>
    <row r="212" spans="1:22" x14ac:dyDescent="0.2">
      <c r="A212" s="3">
        <v>708030</v>
      </c>
      <c r="B212" s="3" t="s">
        <v>419</v>
      </c>
      <c r="C212" s="1">
        <v>784307</v>
      </c>
      <c r="D212" s="1" t="s">
        <v>170</v>
      </c>
      <c r="E212" s="2">
        <v>44536.080000000009</v>
      </c>
      <c r="F212" s="2">
        <v>5833.77</v>
      </c>
      <c r="G212" s="2">
        <v>238</v>
      </c>
      <c r="H212" s="2">
        <v>23560.210000000003</v>
      </c>
      <c r="I212" s="2">
        <v>48145.85</v>
      </c>
      <c r="J212" s="2">
        <v>11966.92</v>
      </c>
      <c r="K212" s="2"/>
      <c r="L212" s="2"/>
      <c r="M212" s="22">
        <v>3360</v>
      </c>
      <c r="N212" s="47"/>
      <c r="O212" s="22"/>
      <c r="P212" s="22"/>
      <c r="Q212" s="42">
        <v>11348.5</v>
      </c>
      <c r="R212" s="39">
        <v>1800</v>
      </c>
      <c r="S212" s="41">
        <v>10839</v>
      </c>
      <c r="T212" s="41"/>
      <c r="U212" s="16">
        <f t="shared" si="14"/>
        <v>-10839</v>
      </c>
      <c r="V212" s="45">
        <f t="shared" si="13"/>
        <v>-1</v>
      </c>
    </row>
    <row r="213" spans="1:22" x14ac:dyDescent="0.2">
      <c r="A213" s="3">
        <v>708060</v>
      </c>
      <c r="B213" s="3" t="s">
        <v>421</v>
      </c>
      <c r="C213" s="1">
        <v>784308</v>
      </c>
      <c r="D213" s="1" t="s">
        <v>171</v>
      </c>
      <c r="E213" s="2">
        <v>5455.21</v>
      </c>
      <c r="F213" s="2">
        <v>121309</v>
      </c>
      <c r="G213" s="2"/>
      <c r="H213" s="2">
        <v>13348</v>
      </c>
      <c r="I213" s="2">
        <v>4692.9400000000005</v>
      </c>
      <c r="J213" s="2">
        <v>280103.19</v>
      </c>
      <c r="K213" s="2">
        <v>111.65</v>
      </c>
      <c r="L213" s="2">
        <v>4552.22</v>
      </c>
      <c r="M213" s="22">
        <v>8950.3900000000012</v>
      </c>
      <c r="N213" s="42">
        <v>1950</v>
      </c>
      <c r="O213" s="22"/>
      <c r="P213" s="22"/>
      <c r="Q213" s="42">
        <v>7830.53</v>
      </c>
      <c r="R213" s="42"/>
      <c r="S213" s="42"/>
      <c r="T213" s="42"/>
      <c r="U213" s="16">
        <f t="shared" si="14"/>
        <v>0</v>
      </c>
      <c r="V213" s="45" t="e">
        <f t="shared" si="13"/>
        <v>#DIV/0!</v>
      </c>
    </row>
    <row r="214" spans="1:22" x14ac:dyDescent="0.2">
      <c r="A214" s="3">
        <v>708040</v>
      </c>
      <c r="B214" s="3" t="s">
        <v>420</v>
      </c>
      <c r="C214" s="1">
        <v>784401</v>
      </c>
      <c r="D214" s="1" t="s">
        <v>172</v>
      </c>
      <c r="E214" s="2">
        <v>58078.36</v>
      </c>
      <c r="F214" s="2">
        <v>6299.91</v>
      </c>
      <c r="G214" s="2">
        <v>8927.33</v>
      </c>
      <c r="H214" s="2">
        <v>7934.32</v>
      </c>
      <c r="I214" s="2">
        <v>14328.67</v>
      </c>
      <c r="J214" s="2">
        <v>31103.739999999998</v>
      </c>
      <c r="K214" s="2">
        <v>22380.639999999999</v>
      </c>
      <c r="L214" s="2">
        <v>18087.14</v>
      </c>
      <c r="M214" s="22">
        <v>18443.21</v>
      </c>
      <c r="N214" s="42">
        <v>5818.4800000000005</v>
      </c>
      <c r="O214" s="42">
        <v>4117.63</v>
      </c>
      <c r="P214" s="42">
        <v>13703.640000000001</v>
      </c>
      <c r="Q214" s="42">
        <v>38213.56</v>
      </c>
      <c r="R214" s="39">
        <v>12971.589999999998</v>
      </c>
      <c r="S214" s="41">
        <v>38.11</v>
      </c>
      <c r="T214" s="41">
        <v>24</v>
      </c>
      <c r="U214" s="16">
        <f t="shared" si="14"/>
        <v>-14.11</v>
      </c>
      <c r="V214" s="45">
        <f t="shared" ref="V214:V220" si="15">U214/S214</f>
        <v>-0.3702440304382052</v>
      </c>
    </row>
    <row r="215" spans="1:22" x14ac:dyDescent="0.2">
      <c r="A215" s="3">
        <v>708060</v>
      </c>
      <c r="B215" s="3" t="s">
        <v>421</v>
      </c>
      <c r="C215" s="1">
        <v>784501</v>
      </c>
      <c r="D215" s="1" t="s">
        <v>173</v>
      </c>
      <c r="E215" s="2">
        <v>583242.89999999991</v>
      </c>
      <c r="F215" s="2">
        <v>171919.16999999998</v>
      </c>
      <c r="G215" s="2">
        <v>43819.06</v>
      </c>
      <c r="H215" s="2">
        <v>136827.6</v>
      </c>
      <c r="I215" s="2">
        <v>77098.179999999993</v>
      </c>
      <c r="J215" s="2">
        <v>355152.89</v>
      </c>
      <c r="K215" s="2">
        <v>24851.270000000004</v>
      </c>
      <c r="L215" s="2">
        <v>36189.599999999999</v>
      </c>
      <c r="M215" s="22">
        <v>31676.95</v>
      </c>
      <c r="N215" s="42">
        <v>24427.11</v>
      </c>
      <c r="O215" s="42">
        <v>5643</v>
      </c>
      <c r="P215" s="42">
        <v>715616.48999999987</v>
      </c>
      <c r="Q215" s="42">
        <v>955768.99</v>
      </c>
      <c r="R215" s="39">
        <v>145661.71000000002</v>
      </c>
      <c r="S215" s="41">
        <v>17654.919999999998</v>
      </c>
      <c r="T215" s="41">
        <v>56980.75</v>
      </c>
      <c r="U215" s="16">
        <f t="shared" ref="U215:U219" si="16">T215-S215</f>
        <v>39325.83</v>
      </c>
      <c r="V215" s="45">
        <f t="shared" si="15"/>
        <v>2.227471435724433</v>
      </c>
    </row>
    <row r="216" spans="1:22" x14ac:dyDescent="0.2">
      <c r="A216" s="3">
        <v>708060</v>
      </c>
      <c r="B216" s="3" t="s">
        <v>421</v>
      </c>
      <c r="C216" s="1">
        <v>784505</v>
      </c>
      <c r="D216" s="1" t="s">
        <v>262</v>
      </c>
      <c r="E216" s="2"/>
      <c r="F216" s="2"/>
      <c r="G216" s="2"/>
      <c r="H216" s="2"/>
      <c r="I216" s="2"/>
      <c r="J216" s="2"/>
      <c r="K216" s="2"/>
      <c r="L216" s="2"/>
      <c r="M216" s="22"/>
      <c r="N216" s="42">
        <v>78.34</v>
      </c>
      <c r="O216" s="22"/>
      <c r="P216" s="42">
        <v>2500</v>
      </c>
      <c r="Q216" s="42"/>
      <c r="R216" s="42"/>
      <c r="S216" s="42"/>
      <c r="T216" s="42"/>
      <c r="U216" s="16">
        <f t="shared" si="16"/>
        <v>0</v>
      </c>
      <c r="V216" s="45" t="e">
        <f t="shared" si="15"/>
        <v>#DIV/0!</v>
      </c>
    </row>
    <row r="217" spans="1:22" x14ac:dyDescent="0.2">
      <c r="A217" s="3">
        <v>708021</v>
      </c>
      <c r="B217" s="3" t="s">
        <v>417</v>
      </c>
      <c r="C217" s="1">
        <v>784604</v>
      </c>
      <c r="D217" s="1" t="s">
        <v>174</v>
      </c>
      <c r="E217" s="2"/>
      <c r="F217" s="2"/>
      <c r="G217" s="2">
        <v>5788.08</v>
      </c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16">
        <f t="shared" si="16"/>
        <v>0</v>
      </c>
      <c r="V217" s="45" t="e">
        <f t="shared" si="15"/>
        <v>#DIV/0!</v>
      </c>
    </row>
    <row r="218" spans="1:22" x14ac:dyDescent="0.2">
      <c r="A218" s="3">
        <v>802005</v>
      </c>
      <c r="B218" s="3" t="s">
        <v>459</v>
      </c>
      <c r="C218" s="1">
        <v>821200</v>
      </c>
      <c r="D218" s="1" t="s">
        <v>308</v>
      </c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>
        <v>1173008</v>
      </c>
      <c r="P218" s="2"/>
      <c r="Q218" s="2"/>
      <c r="R218" s="2"/>
      <c r="S218" s="2"/>
      <c r="T218" s="2"/>
      <c r="U218" s="16">
        <f t="shared" si="16"/>
        <v>0</v>
      </c>
      <c r="V218" s="45" t="e">
        <f t="shared" si="15"/>
        <v>#DIV/0!</v>
      </c>
    </row>
    <row r="219" spans="1:22" x14ac:dyDescent="0.2">
      <c r="C219" s="3" t="s">
        <v>234</v>
      </c>
      <c r="D219" s="3" t="s">
        <v>235</v>
      </c>
      <c r="E219" s="2"/>
      <c r="F219" s="2"/>
      <c r="G219" s="2"/>
      <c r="H219" s="2"/>
      <c r="I219" s="2">
        <v>19252.64</v>
      </c>
      <c r="J219" s="2">
        <v>26716.34</v>
      </c>
      <c r="K219" s="2">
        <v>30656.880000000001</v>
      </c>
      <c r="L219" s="2">
        <v>153366.81</v>
      </c>
      <c r="M219" s="2">
        <v>26803.41</v>
      </c>
      <c r="N219" s="2">
        <v>120315.17</v>
      </c>
      <c r="O219" s="2">
        <v>185135.86</v>
      </c>
      <c r="P219" s="2"/>
      <c r="Q219" s="2"/>
      <c r="R219" s="2"/>
      <c r="S219" s="2"/>
      <c r="T219" s="2"/>
      <c r="U219" s="16">
        <f t="shared" si="16"/>
        <v>0</v>
      </c>
      <c r="V219" s="45" t="e">
        <f t="shared" si="15"/>
        <v>#DIV/0!</v>
      </c>
    </row>
    <row r="220" spans="1:22" x14ac:dyDescent="0.2">
      <c r="D220" s="5" t="s">
        <v>233</v>
      </c>
      <c r="E220" s="11">
        <f>SUM(E87:E219)</f>
        <v>2007035.7699999998</v>
      </c>
      <c r="F220" s="11">
        <f t="shared" ref="F220:T220" si="17">SUM(F87:F219)</f>
        <v>1450284.1099999999</v>
      </c>
      <c r="G220" s="11">
        <f t="shared" si="17"/>
        <v>1263765.9000000001</v>
      </c>
      <c r="H220" s="11">
        <f t="shared" si="17"/>
        <v>1469530.3200000003</v>
      </c>
      <c r="I220" s="11">
        <f t="shared" si="17"/>
        <v>1133554.3699999999</v>
      </c>
      <c r="J220" s="11">
        <f t="shared" si="17"/>
        <v>1788647.0899999996</v>
      </c>
      <c r="K220" s="11">
        <f t="shared" si="17"/>
        <v>1388485.3599999996</v>
      </c>
      <c r="L220" s="11">
        <f t="shared" si="17"/>
        <v>1399864.1300000001</v>
      </c>
      <c r="M220" s="11">
        <f t="shared" si="17"/>
        <v>1581328.1499999997</v>
      </c>
      <c r="N220" s="11">
        <f t="shared" si="17"/>
        <v>1543300.3399999999</v>
      </c>
      <c r="O220" s="11">
        <f t="shared" si="17"/>
        <v>2800467.97</v>
      </c>
      <c r="P220" s="11">
        <f t="shared" si="17"/>
        <v>2819412.1099999994</v>
      </c>
      <c r="Q220" s="11">
        <f t="shared" si="17"/>
        <v>3534577.4099999992</v>
      </c>
      <c r="R220" s="11">
        <f t="shared" si="17"/>
        <v>2536942.7199999993</v>
      </c>
      <c r="S220" s="11">
        <f t="shared" si="17"/>
        <v>2117259.5899999989</v>
      </c>
      <c r="T220" s="11">
        <f t="shared" si="17"/>
        <v>2241322.9199999995</v>
      </c>
      <c r="U220" s="20">
        <f>SUM(U87:U219)</f>
        <v>124063.32999999993</v>
      </c>
      <c r="V220" s="45">
        <f t="shared" si="15"/>
        <v>5.8596182813841921E-2</v>
      </c>
    </row>
    <row r="221" spans="1:22" x14ac:dyDescent="0.2"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S221" s="4"/>
      <c r="T221" s="4"/>
      <c r="U221" s="16"/>
      <c r="V221" s="45"/>
    </row>
    <row r="222" spans="1:22" x14ac:dyDescent="0.2">
      <c r="C222" s="3" t="s">
        <v>218</v>
      </c>
      <c r="E222" s="4"/>
      <c r="F222" s="4"/>
      <c r="G222" s="4"/>
      <c r="H222" s="4"/>
      <c r="I222" s="4">
        <v>11713323.74</v>
      </c>
      <c r="J222" s="4">
        <v>12877696.23</v>
      </c>
      <c r="K222" s="4">
        <v>10281506.359999999</v>
      </c>
      <c r="L222" s="4">
        <v>11928498.57</v>
      </c>
      <c r="M222" s="4">
        <v>12016868.449999999</v>
      </c>
      <c r="N222" s="4">
        <f t="shared" ref="N222:T222" si="18">N11</f>
        <v>12814781.26</v>
      </c>
      <c r="O222" s="4">
        <f t="shared" si="18"/>
        <v>10076068.01</v>
      </c>
      <c r="P222" s="4">
        <f t="shared" si="18"/>
        <v>10967200.970000001</v>
      </c>
      <c r="Q222" s="4">
        <f t="shared" si="18"/>
        <v>14079782.789999999</v>
      </c>
      <c r="R222" s="4">
        <f t="shared" si="18"/>
        <v>18606447.48</v>
      </c>
      <c r="S222" s="4">
        <f t="shared" si="18"/>
        <v>11087741.43</v>
      </c>
      <c r="T222" s="4">
        <f t="shared" si="18"/>
        <v>11869532.359999999</v>
      </c>
      <c r="U222" s="16">
        <f>T222-S222</f>
        <v>781790.9299999997</v>
      </c>
      <c r="V222" s="45">
        <f>U222/S222</f>
        <v>7.0509484274652659E-2</v>
      </c>
    </row>
    <row r="223" spans="1:22" x14ac:dyDescent="0.2">
      <c r="E223" s="4"/>
      <c r="F223" s="4"/>
      <c r="G223" s="4"/>
      <c r="H223" s="4"/>
      <c r="I223" s="4"/>
      <c r="J223" s="4"/>
      <c r="K223" s="4"/>
      <c r="L223" s="4"/>
      <c r="M223" s="4"/>
      <c r="O223" s="4"/>
      <c r="P223" s="4"/>
      <c r="Q223" s="4"/>
      <c r="R223" s="4"/>
      <c r="S223" s="4"/>
      <c r="T223" s="4"/>
      <c r="U223" s="16"/>
      <c r="V223" s="45"/>
    </row>
    <row r="224" spans="1:22" x14ac:dyDescent="0.2">
      <c r="C224" s="3" t="s">
        <v>219</v>
      </c>
      <c r="E224" s="4"/>
      <c r="F224" s="4"/>
      <c r="G224" s="4"/>
      <c r="H224" s="4"/>
      <c r="I224" s="4">
        <v>6884646.3200000003</v>
      </c>
      <c r="J224" s="4">
        <v>7123734.6699999999</v>
      </c>
      <c r="K224" s="4">
        <v>7109497.0999999996</v>
      </c>
      <c r="L224" s="4">
        <v>7752046.1500000004</v>
      </c>
      <c r="M224" s="4">
        <v>8641277.7300000004</v>
      </c>
      <c r="N224" s="4">
        <f t="shared" ref="N224:T224" si="19">N12</f>
        <v>8829780.5</v>
      </c>
      <c r="O224" s="4">
        <f t="shared" si="19"/>
        <v>9949860.0800000001</v>
      </c>
      <c r="P224" s="4">
        <f t="shared" si="19"/>
        <v>10416067.720000001</v>
      </c>
      <c r="Q224" s="4">
        <f t="shared" si="19"/>
        <v>9773676.3599999994</v>
      </c>
      <c r="R224" s="4">
        <f t="shared" si="19"/>
        <v>10405850.51</v>
      </c>
      <c r="S224" s="4">
        <f t="shared" si="19"/>
        <v>9983679.5</v>
      </c>
      <c r="T224" s="4">
        <f t="shared" si="19"/>
        <v>9448705.1999999993</v>
      </c>
      <c r="U224" s="16">
        <f>T224-S224</f>
        <v>-534974.30000000075</v>
      </c>
      <c r="V224" s="45">
        <f>U224/S224</f>
        <v>-5.3584883208640736E-2</v>
      </c>
    </row>
    <row r="225" spans="3:22" x14ac:dyDescent="0.2"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  <c r="U225" s="16"/>
      <c r="V225" s="45"/>
    </row>
    <row r="226" spans="3:22" ht="13.5" thickBot="1" x14ac:dyDescent="0.25">
      <c r="D226" s="14" t="s">
        <v>2</v>
      </c>
      <c r="E226" s="10">
        <f>E86+E220+SUM(E221:E225)</f>
        <v>51841930.57</v>
      </c>
      <c r="F226" s="10">
        <f t="shared" ref="F226:U226" si="20">F86+F220+SUM(F221:F225)</f>
        <v>53820328.790000007</v>
      </c>
      <c r="G226" s="10">
        <f t="shared" si="20"/>
        <v>57175946.339999996</v>
      </c>
      <c r="H226" s="10">
        <f t="shared" si="20"/>
        <v>60838309.469999991</v>
      </c>
      <c r="I226" s="10">
        <f t="shared" si="20"/>
        <v>77367760.319999993</v>
      </c>
      <c r="J226" s="10">
        <f t="shared" si="20"/>
        <v>83522903.060000002</v>
      </c>
      <c r="K226" s="10">
        <f t="shared" si="20"/>
        <v>81736345.909999996</v>
      </c>
      <c r="L226" s="10">
        <f t="shared" si="20"/>
        <v>89797032.450000018</v>
      </c>
      <c r="M226" s="10">
        <f t="shared" si="20"/>
        <v>97828452.210000008</v>
      </c>
      <c r="N226" s="10">
        <f t="shared" si="20"/>
        <v>107337175.92999998</v>
      </c>
      <c r="O226" s="10">
        <f t="shared" si="20"/>
        <v>113572027.65000001</v>
      </c>
      <c r="P226" s="10">
        <f t="shared" si="20"/>
        <v>116642043.86</v>
      </c>
      <c r="Q226" s="10">
        <f t="shared" si="20"/>
        <v>117823840.65000001</v>
      </c>
      <c r="R226" s="10">
        <f t="shared" si="20"/>
        <v>131742082.80000001</v>
      </c>
      <c r="S226" s="10">
        <f t="shared" si="20"/>
        <v>126664857.33000001</v>
      </c>
      <c r="T226" s="10">
        <f t="shared" si="20"/>
        <v>127710456.69000001</v>
      </c>
      <c r="U226" s="21">
        <f t="shared" si="20"/>
        <v>1045599.3600000058</v>
      </c>
      <c r="V226" s="45">
        <f>U226/S226</f>
        <v>8.2548497037019924E-3</v>
      </c>
    </row>
    <row r="227" spans="3:22" ht="13.5" thickTop="1" x14ac:dyDescent="0.2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3:22" x14ac:dyDescent="0.2">
      <c r="C228" s="3" t="s">
        <v>220</v>
      </c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3:22" x14ac:dyDescent="0.2">
      <c r="C229" s="3" t="s">
        <v>221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  <row r="230" spans="3:22" x14ac:dyDescent="0.2"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S230" s="4"/>
      <c r="T230" s="4"/>
    </row>
    <row r="231" spans="3:22" x14ac:dyDescent="0.2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</row>
    <row r="232" spans="3:22" x14ac:dyDescent="0.2">
      <c r="C232" s="12" t="s">
        <v>482</v>
      </c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S232" s="4"/>
      <c r="T232" s="4"/>
    </row>
  </sheetData>
  <phoneticPr fontId="10" type="noConversion"/>
  <pageMargins left="0" right="0" top="0" bottom="0.5" header="0" footer="0"/>
  <pageSetup paperSize="5" scale="68" fitToHeight="20" orientation="landscape" r:id="rId1"/>
  <headerFooter>
    <oddFooter>&amp;R&amp;8Page &amp;P of &amp;N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V229"/>
  <sheetViews>
    <sheetView zoomScaleNormal="100" workbookViewId="0">
      <pane xSplit="4" ySplit="7" topLeftCell="R206" activePane="bottomRight" state="frozen"/>
      <selection pane="topRight" activeCell="C1" sqref="C1"/>
      <selection pane="bottomLeft" activeCell="A8" sqref="A8"/>
      <selection pane="bottomRight" activeCell="V215" sqref="V215"/>
    </sheetView>
  </sheetViews>
  <sheetFormatPr defaultColWidth="9.140625" defaultRowHeight="12.75" x14ac:dyDescent="0.2"/>
  <cols>
    <col min="1" max="1" width="7.85546875" style="55" customWidth="1"/>
    <col min="2" max="2" width="36.85546875" style="55" bestFit="1" customWidth="1"/>
    <col min="3" max="3" width="8.85546875" style="3" customWidth="1"/>
    <col min="4" max="4" width="25.140625" style="3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14" style="44" customWidth="1"/>
    <col min="23" max="23" width="10.7109375" style="3" customWidth="1"/>
    <col min="24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238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762734.72</v>
      </c>
      <c r="F9" s="4">
        <v>737348.12</v>
      </c>
      <c r="G9" s="4">
        <v>573183.57999999996</v>
      </c>
      <c r="H9" s="4">
        <v>581894.17000000004</v>
      </c>
      <c r="I9" s="4">
        <v>724017.36</v>
      </c>
      <c r="J9" s="4">
        <v>802199.58</v>
      </c>
      <c r="K9" s="4">
        <v>887461.68</v>
      </c>
      <c r="L9" s="4">
        <v>879297.8</v>
      </c>
      <c r="M9" s="4">
        <v>904877.44</v>
      </c>
      <c r="N9" s="4">
        <v>1051970.3799999999</v>
      </c>
      <c r="O9" s="4">
        <v>1156097.31</v>
      </c>
      <c r="P9" s="4">
        <f>591153.33+342013.66</f>
        <v>933166.99</v>
      </c>
      <c r="Q9" s="4">
        <f>766167.79+434311.95</f>
        <v>1200479.74</v>
      </c>
      <c r="R9" s="4">
        <f>797938.65+387692.73</f>
        <v>1185631.3799999999</v>
      </c>
      <c r="S9" s="4">
        <f>899523.05+380081.25</f>
        <v>1279604.3</v>
      </c>
      <c r="T9" s="4">
        <f>729214.12+343456.95</f>
        <v>1072671.07</v>
      </c>
      <c r="U9" s="16">
        <f>T9-S9</f>
        <v>-206933.22999999998</v>
      </c>
      <c r="V9" s="45">
        <f>U9/S9</f>
        <v>-0.16171657910183637</v>
      </c>
    </row>
    <row r="10" spans="1:22" x14ac:dyDescent="0.2">
      <c r="C10" s="3" t="s">
        <v>1</v>
      </c>
      <c r="E10" s="4">
        <v>808680.19</v>
      </c>
      <c r="F10" s="4">
        <v>589624.36</v>
      </c>
      <c r="G10" s="4">
        <v>641313.36</v>
      </c>
      <c r="H10" s="4">
        <v>407919.31</v>
      </c>
      <c r="I10" s="4">
        <v>467153.29</v>
      </c>
      <c r="J10" s="4">
        <v>944835.99</v>
      </c>
      <c r="K10" s="4">
        <v>969962.72</v>
      </c>
      <c r="L10" s="4">
        <v>1011817.86</v>
      </c>
      <c r="M10" s="4">
        <v>679180.06</v>
      </c>
      <c r="N10" s="4">
        <v>744346.45</v>
      </c>
      <c r="O10" s="4">
        <v>835093.22</v>
      </c>
      <c r="P10" s="4">
        <v>679273.93</v>
      </c>
      <c r="Q10" s="4">
        <v>623307.06999999995</v>
      </c>
      <c r="R10" s="4">
        <v>718168.02</v>
      </c>
      <c r="S10" s="4">
        <v>659119.37</v>
      </c>
      <c r="T10" s="4">
        <v>491536.8</v>
      </c>
      <c r="U10" s="16">
        <f t="shared" ref="U10:U12" si="0">T10-S10</f>
        <v>-167582.57</v>
      </c>
      <c r="V10" s="45">
        <f t="shared" ref="V10:V12" si="1">U10/S10</f>
        <v>-0.25425223051781959</v>
      </c>
    </row>
    <row r="11" spans="1:22" x14ac:dyDescent="0.2">
      <c r="C11" s="3" t="s">
        <v>218</v>
      </c>
      <c r="E11" s="4"/>
      <c r="F11" s="4"/>
      <c r="G11" s="4"/>
      <c r="H11" s="4"/>
      <c r="I11" s="4">
        <v>147197.14000000001</v>
      </c>
      <c r="J11" s="4">
        <v>167337.57</v>
      </c>
      <c r="K11" s="4">
        <v>144931.73000000001</v>
      </c>
      <c r="L11" s="4">
        <v>152637.04999999999</v>
      </c>
      <c r="M11" s="4">
        <v>143932.14000000001</v>
      </c>
      <c r="N11" s="4">
        <v>160213.07999999999</v>
      </c>
      <c r="O11" s="4">
        <v>128374.08</v>
      </c>
      <c r="P11" s="4">
        <v>110712.9</v>
      </c>
      <c r="Q11" s="4">
        <v>186900.47</v>
      </c>
      <c r="R11" s="4">
        <v>220179.28</v>
      </c>
      <c r="S11" s="4">
        <v>137112.93</v>
      </c>
      <c r="T11" s="4">
        <v>122246.7</v>
      </c>
      <c r="U11" s="16">
        <f t="shared" si="0"/>
        <v>-14866.229999999996</v>
      </c>
      <c r="V11" s="45">
        <f t="shared" si="1"/>
        <v>-0.10842325373690137</v>
      </c>
    </row>
    <row r="12" spans="1:22" x14ac:dyDescent="0.2">
      <c r="C12" s="3" t="s">
        <v>219</v>
      </c>
      <c r="E12" s="4"/>
      <c r="F12" s="4"/>
      <c r="G12" s="4"/>
      <c r="H12" s="4"/>
      <c r="I12" s="4">
        <v>86516.88</v>
      </c>
      <c r="J12" s="4">
        <v>92568.46</v>
      </c>
      <c r="K12" s="4">
        <v>100217.97</v>
      </c>
      <c r="L12" s="4">
        <v>99195.17</v>
      </c>
      <c r="M12" s="4">
        <v>103500.98</v>
      </c>
      <c r="N12" s="4">
        <v>110391.76</v>
      </c>
      <c r="O12" s="4">
        <v>126766.12</v>
      </c>
      <c r="P12" s="4">
        <v>105149.26</v>
      </c>
      <c r="Q12" s="4">
        <v>129739.55</v>
      </c>
      <c r="R12" s="4">
        <v>123137.57</v>
      </c>
      <c r="S12" s="4">
        <v>123459.91</v>
      </c>
      <c r="T12" s="4">
        <v>97314.12</v>
      </c>
      <c r="U12" s="16">
        <f t="shared" si="0"/>
        <v>-26145.790000000008</v>
      </c>
      <c r="V12" s="45">
        <f t="shared" si="1"/>
        <v>-0.21177554722014627</v>
      </c>
    </row>
    <row r="13" spans="1:22" ht="13.5" thickBot="1" x14ac:dyDescent="0.25">
      <c r="C13" s="3" t="s">
        <v>2</v>
      </c>
      <c r="E13" s="10">
        <f t="shared" ref="E13:U13" si="2">SUM(E9:E12)</f>
        <v>1571414.91</v>
      </c>
      <c r="F13" s="10">
        <f t="shared" si="2"/>
        <v>1326972.48</v>
      </c>
      <c r="G13" s="10">
        <f t="shared" si="2"/>
        <v>1214496.94</v>
      </c>
      <c r="H13" s="10">
        <f t="shared" si="2"/>
        <v>989813.48</v>
      </c>
      <c r="I13" s="10">
        <f t="shared" si="2"/>
        <v>1424884.67</v>
      </c>
      <c r="J13" s="10">
        <f t="shared" si="2"/>
        <v>2006941.5999999999</v>
      </c>
      <c r="K13" s="10">
        <f t="shared" si="2"/>
        <v>2102574.1</v>
      </c>
      <c r="L13" s="10">
        <f t="shared" si="2"/>
        <v>2142947.8800000004</v>
      </c>
      <c r="M13" s="10">
        <f t="shared" si="2"/>
        <v>1831490.62</v>
      </c>
      <c r="N13" s="10">
        <f t="shared" si="2"/>
        <v>2066921.67</v>
      </c>
      <c r="O13" s="10">
        <f t="shared" si="2"/>
        <v>2246330.73</v>
      </c>
      <c r="P13" s="10">
        <f t="shared" si="2"/>
        <v>1828303.0799999998</v>
      </c>
      <c r="Q13" s="10">
        <f t="shared" si="2"/>
        <v>2140426.83</v>
      </c>
      <c r="R13" s="10">
        <f t="shared" si="2"/>
        <v>2247116.2499999995</v>
      </c>
      <c r="S13" s="10">
        <f t="shared" si="2"/>
        <v>2199296.5099999998</v>
      </c>
      <c r="T13" s="10">
        <f t="shared" si="2"/>
        <v>1783768.69</v>
      </c>
      <c r="U13" s="21">
        <f t="shared" si="2"/>
        <v>-415527.81999999995</v>
      </c>
      <c r="V13" s="45">
        <f>U13/S13</f>
        <v>-0.18893669776250407</v>
      </c>
    </row>
    <row r="14" spans="1:22" ht="13.5" thickTop="1" x14ac:dyDescent="0.2">
      <c r="U14" s="16"/>
    </row>
    <row r="15" spans="1:22" x14ac:dyDescent="0.2">
      <c r="C15" s="8" t="s">
        <v>239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55">
        <v>601000</v>
      </c>
      <c r="B18" s="55" t="s">
        <v>317</v>
      </c>
      <c r="C18" s="1">
        <v>611100</v>
      </c>
      <c r="D18" s="1" t="s">
        <v>11</v>
      </c>
      <c r="E18" s="24">
        <v>47959.26</v>
      </c>
      <c r="F18" s="24">
        <v>52054.66</v>
      </c>
      <c r="G18" s="24">
        <v>40664.120000000003</v>
      </c>
      <c r="H18" s="24">
        <v>40456.39</v>
      </c>
      <c r="I18" s="24">
        <v>53683.85</v>
      </c>
      <c r="J18" s="24">
        <v>141130.17000000001</v>
      </c>
      <c r="K18" s="24">
        <v>155861.40000000002</v>
      </c>
      <c r="L18" s="24">
        <v>153986.53</v>
      </c>
      <c r="M18" s="24">
        <v>158304.07</v>
      </c>
      <c r="N18" s="36">
        <v>165355.9</v>
      </c>
      <c r="O18" s="41">
        <f>182257.7+30927.09</f>
        <v>213184.79</v>
      </c>
      <c r="P18" s="41">
        <f>177039.22+22953.91</f>
        <v>199993.13</v>
      </c>
      <c r="Q18" s="36">
        <f>216119.81+29149.1</f>
        <v>245268.91</v>
      </c>
      <c r="R18" s="39">
        <f>230440.88+54049.55</f>
        <v>284490.43</v>
      </c>
      <c r="S18" s="41">
        <f>220796.22+64657.44</f>
        <v>285453.66000000003</v>
      </c>
      <c r="T18" s="41">
        <f>255197.92+53829.78</f>
        <v>309027.7</v>
      </c>
      <c r="U18" s="16">
        <f>T18-S18</f>
        <v>23574.039999999979</v>
      </c>
      <c r="V18" s="45">
        <f>U18/S18</f>
        <v>8.2584472730179659E-2</v>
      </c>
    </row>
    <row r="19" spans="1:22" x14ac:dyDescent="0.2">
      <c r="A19" s="55">
        <v>601000</v>
      </c>
      <c r="B19" s="55" t="s">
        <v>317</v>
      </c>
      <c r="C19" s="1">
        <v>611110</v>
      </c>
      <c r="D19" s="1" t="s">
        <v>12</v>
      </c>
      <c r="E19" s="24">
        <v>14245</v>
      </c>
      <c r="F19" s="24"/>
      <c r="G19" s="24"/>
      <c r="H19" s="24"/>
      <c r="I19" s="24"/>
      <c r="J19" s="24"/>
      <c r="K19" s="24"/>
      <c r="L19" s="24">
        <v>1400</v>
      </c>
      <c r="M19" s="24">
        <v>4340</v>
      </c>
      <c r="N19" s="36">
        <v>1123</v>
      </c>
      <c r="O19" s="41">
        <v>1982</v>
      </c>
      <c r="Q19" s="36"/>
      <c r="R19" s="36"/>
      <c r="S19" s="36"/>
      <c r="T19" s="36"/>
      <c r="U19" s="16"/>
      <c r="V19" s="45"/>
    </row>
    <row r="20" spans="1:22" x14ac:dyDescent="0.2">
      <c r="A20" s="55">
        <v>601000</v>
      </c>
      <c r="B20" s="55" t="s">
        <v>317</v>
      </c>
      <c r="C20" s="1">
        <v>611120</v>
      </c>
      <c r="D20" s="1" t="s">
        <v>13</v>
      </c>
      <c r="O20" s="41">
        <f>300+28.61</f>
        <v>328.61</v>
      </c>
      <c r="Q20" s="36"/>
      <c r="R20" s="36"/>
      <c r="S20" s="36"/>
      <c r="T20" s="36"/>
      <c r="U20" s="16"/>
      <c r="V20" s="45"/>
    </row>
    <row r="21" spans="1:22" x14ac:dyDescent="0.2">
      <c r="A21" s="55">
        <v>601000</v>
      </c>
      <c r="B21" s="55" t="s">
        <v>317</v>
      </c>
      <c r="C21" s="1">
        <v>611130</v>
      </c>
      <c r="D21" s="1" t="s">
        <v>14</v>
      </c>
      <c r="U21" s="16"/>
      <c r="V21" s="45"/>
    </row>
    <row r="22" spans="1:22" x14ac:dyDescent="0.2">
      <c r="A22" s="55">
        <v>601000</v>
      </c>
      <c r="B22" s="55" t="s">
        <v>317</v>
      </c>
      <c r="C22" s="1">
        <v>611140</v>
      </c>
      <c r="D22" s="1" t="s">
        <v>15</v>
      </c>
      <c r="E22" s="24">
        <v>248899.86000000002</v>
      </c>
      <c r="F22" s="24">
        <v>145611.96</v>
      </c>
      <c r="G22" s="24">
        <v>174455.94</v>
      </c>
      <c r="H22" s="24">
        <v>120730.61</v>
      </c>
      <c r="I22" s="24">
        <v>102277.91000000002</v>
      </c>
      <c r="J22" s="24">
        <v>42433.11</v>
      </c>
      <c r="K22" s="24">
        <v>64756.770000000004</v>
      </c>
      <c r="L22" s="24">
        <v>56208.78</v>
      </c>
      <c r="M22" s="24">
        <v>24833.21</v>
      </c>
      <c r="N22" s="36">
        <v>30032.32</v>
      </c>
      <c r="O22" s="41">
        <f>21864+4502.55</f>
        <v>26366.55</v>
      </c>
      <c r="P22" s="41">
        <f>53415.42+3880.19</f>
        <v>57295.61</v>
      </c>
      <c r="Q22" s="36">
        <f>49925.08+4802.78</f>
        <v>54727.86</v>
      </c>
      <c r="R22" s="36"/>
      <c r="S22" s="36"/>
      <c r="T22" s="36"/>
      <c r="U22" s="16"/>
      <c r="V22" s="45"/>
    </row>
    <row r="23" spans="1:22" x14ac:dyDescent="0.2">
      <c r="A23" s="55">
        <v>601000</v>
      </c>
      <c r="B23" s="55" t="s">
        <v>317</v>
      </c>
      <c r="C23" s="1">
        <v>611150</v>
      </c>
      <c r="D23" s="1" t="s">
        <v>16</v>
      </c>
      <c r="E23" s="24">
        <v>3715.09</v>
      </c>
      <c r="F23" s="24">
        <v>3850.14</v>
      </c>
      <c r="G23" s="24"/>
      <c r="H23" s="24"/>
      <c r="I23" s="24"/>
      <c r="J23" s="24"/>
      <c r="K23" s="24"/>
      <c r="L23" s="24"/>
      <c r="M23" s="24"/>
      <c r="N23" s="34"/>
      <c r="O23" s="34">
        <f>190.31</f>
        <v>190.31</v>
      </c>
      <c r="P23" s="3">
        <f>168.16</f>
        <v>168.16</v>
      </c>
      <c r="Q23" s="51">
        <f>173.72</f>
        <v>173.72</v>
      </c>
      <c r="R23" s="51"/>
      <c r="S23" s="51"/>
      <c r="T23" s="51"/>
      <c r="U23" s="16"/>
      <c r="V23" s="45"/>
    </row>
    <row r="24" spans="1:22" x14ac:dyDescent="0.2">
      <c r="A24" s="55">
        <v>601000</v>
      </c>
      <c r="B24" s="55" t="s">
        <v>317</v>
      </c>
      <c r="C24" s="1">
        <v>611160</v>
      </c>
      <c r="D24" s="1" t="s">
        <v>17</v>
      </c>
      <c r="E24" s="24"/>
      <c r="F24" s="24"/>
      <c r="G24" s="24"/>
      <c r="H24" s="24"/>
      <c r="I24" s="24"/>
      <c r="J24" s="24"/>
      <c r="K24" s="24"/>
      <c r="L24" s="24"/>
      <c r="M24" s="24">
        <v>1200</v>
      </c>
      <c r="N24" s="34"/>
      <c r="O24" s="34"/>
      <c r="Q24" s="51"/>
      <c r="R24" s="51"/>
      <c r="S24" s="51"/>
      <c r="T24" s="51"/>
      <c r="U24" s="16"/>
      <c r="V24" s="45"/>
    </row>
    <row r="25" spans="1:22" x14ac:dyDescent="0.2">
      <c r="A25" s="55">
        <v>601508</v>
      </c>
      <c r="B25" s="55" t="s">
        <v>307</v>
      </c>
      <c r="C25" s="38">
        <v>611180</v>
      </c>
      <c r="D25" s="40" t="s">
        <v>307</v>
      </c>
      <c r="E25" s="34"/>
      <c r="F25" s="34"/>
      <c r="G25" s="34"/>
      <c r="H25" s="34"/>
      <c r="I25" s="34"/>
      <c r="J25" s="34"/>
      <c r="K25" s="34"/>
      <c r="L25" s="34"/>
      <c r="M25" s="34"/>
      <c r="N25" s="34"/>
      <c r="O25" s="34">
        <f>6.7</f>
        <v>6.7</v>
      </c>
      <c r="P25" s="3">
        <f>60.55</f>
        <v>60.55</v>
      </c>
      <c r="Q25" s="51">
        <f>1.14</f>
        <v>1.1399999999999999</v>
      </c>
      <c r="R25" s="51"/>
      <c r="S25" s="51"/>
      <c r="T25" s="51"/>
      <c r="U25" s="16"/>
      <c r="V25" s="45"/>
    </row>
    <row r="26" spans="1:22" x14ac:dyDescent="0.2">
      <c r="C26" s="1"/>
      <c r="D26" s="5" t="s">
        <v>229</v>
      </c>
      <c r="E26" s="6">
        <f t="shared" ref="E26:U26" si="3">SUM(E18:E25)</f>
        <v>314819.21000000002</v>
      </c>
      <c r="F26" s="6">
        <f t="shared" si="3"/>
        <v>201516.76</v>
      </c>
      <c r="G26" s="6">
        <f t="shared" si="3"/>
        <v>215120.06</v>
      </c>
      <c r="H26" s="6">
        <f t="shared" si="3"/>
        <v>161187</v>
      </c>
      <c r="I26" s="6">
        <f t="shared" si="3"/>
        <v>155961.76</v>
      </c>
      <c r="J26" s="6">
        <f t="shared" si="3"/>
        <v>183563.28000000003</v>
      </c>
      <c r="K26" s="6">
        <f t="shared" si="3"/>
        <v>220618.17000000004</v>
      </c>
      <c r="L26" s="6">
        <f t="shared" si="3"/>
        <v>211595.31</v>
      </c>
      <c r="M26" s="6">
        <f t="shared" si="3"/>
        <v>188677.28</v>
      </c>
      <c r="N26" s="6">
        <f t="shared" si="3"/>
        <v>196511.22</v>
      </c>
      <c r="O26" s="6">
        <f t="shared" si="3"/>
        <v>242058.96</v>
      </c>
      <c r="P26" s="6">
        <f t="shared" si="3"/>
        <v>257517.44999999998</v>
      </c>
      <c r="Q26" s="6">
        <f t="shared" si="3"/>
        <v>300171.63</v>
      </c>
      <c r="R26" s="6">
        <f t="shared" si="3"/>
        <v>284490.43</v>
      </c>
      <c r="S26" s="6">
        <f t="shared" si="3"/>
        <v>285453.66000000003</v>
      </c>
      <c r="T26" s="6">
        <f t="shared" si="3"/>
        <v>309027.7</v>
      </c>
      <c r="U26" s="17">
        <f t="shared" si="3"/>
        <v>23574.039999999979</v>
      </c>
      <c r="V26" s="45">
        <f>U26/S26</f>
        <v>8.2584472730179659E-2</v>
      </c>
    </row>
    <row r="27" spans="1:22" x14ac:dyDescent="0.2">
      <c r="A27" s="55">
        <v>601512</v>
      </c>
      <c r="B27" s="55" t="s">
        <v>18</v>
      </c>
      <c r="C27" s="1">
        <v>611200</v>
      </c>
      <c r="D27" s="1" t="s">
        <v>18</v>
      </c>
      <c r="E27" s="24"/>
      <c r="F27" s="24"/>
      <c r="G27" s="24">
        <v>202.28</v>
      </c>
      <c r="H27" s="24">
        <v>-202.28</v>
      </c>
      <c r="I27" s="24"/>
      <c r="J27" s="24"/>
      <c r="K27" s="24"/>
      <c r="L27" s="24"/>
      <c r="M27" s="24"/>
      <c r="N27" s="34"/>
      <c r="O27" s="34">
        <f>3.25</f>
        <v>3.25</v>
      </c>
      <c r="P27" s="34">
        <f>193.18</f>
        <v>193.18</v>
      </c>
      <c r="Q27" s="34">
        <f>147.28</f>
        <v>147.28</v>
      </c>
      <c r="R27" s="34">
        <f>-399.92</f>
        <v>-399.92</v>
      </c>
      <c r="S27" s="34">
        <f>119.59</f>
        <v>119.59</v>
      </c>
      <c r="T27" s="22">
        <f>76.12</f>
        <v>76.12</v>
      </c>
      <c r="U27" s="16">
        <f t="shared" ref="U27:U69" si="4">T27-S27</f>
        <v>-43.47</v>
      </c>
      <c r="V27" s="45">
        <f t="shared" ref="V27:V69" si="5">U27/S27</f>
        <v>-0.36349193076344172</v>
      </c>
    </row>
    <row r="28" spans="1:22" x14ac:dyDescent="0.2">
      <c r="A28" s="55">
        <v>601302</v>
      </c>
      <c r="B28" s="55" t="s">
        <v>320</v>
      </c>
      <c r="C28" s="1">
        <v>612110</v>
      </c>
      <c r="D28" s="1" t="s">
        <v>19</v>
      </c>
      <c r="E28" s="24">
        <v>5189.13</v>
      </c>
      <c r="F28" s="24">
        <v>4307.3099999999995</v>
      </c>
      <c r="G28" s="24"/>
      <c r="H28" s="24">
        <v>11349</v>
      </c>
      <c r="I28" s="24">
        <v>20869.48</v>
      </c>
      <c r="J28" s="24">
        <v>9064.77</v>
      </c>
      <c r="K28" s="24">
        <v>6111.43</v>
      </c>
      <c r="L28" s="24">
        <v>12537.5</v>
      </c>
      <c r="M28" s="24">
        <v>2234.1800000000003</v>
      </c>
      <c r="N28" s="34"/>
      <c r="O28" s="34"/>
      <c r="P28" s="34"/>
      <c r="Q28" s="36">
        <v>8050.5</v>
      </c>
      <c r="R28" s="39">
        <v>4941</v>
      </c>
      <c r="S28" s="39"/>
      <c r="T28" s="51">
        <f>10665</f>
        <v>10665</v>
      </c>
      <c r="U28" s="16">
        <f t="shared" si="4"/>
        <v>10665</v>
      </c>
      <c r="V28" s="45" t="e">
        <f t="shared" si="5"/>
        <v>#DIV/0!</v>
      </c>
    </row>
    <row r="29" spans="1:22" x14ac:dyDescent="0.2">
      <c r="A29" s="55">
        <v>601300</v>
      </c>
      <c r="B29" s="55" t="s">
        <v>319</v>
      </c>
      <c r="C29" s="1">
        <v>612130</v>
      </c>
      <c r="D29" s="1" t="s">
        <v>20</v>
      </c>
      <c r="E29" s="24">
        <v>122383.54</v>
      </c>
      <c r="F29" s="24">
        <v>182706.86</v>
      </c>
      <c r="G29" s="24">
        <v>81350.09</v>
      </c>
      <c r="H29" s="24">
        <v>106069.5</v>
      </c>
      <c r="I29" s="24">
        <v>139429.27000000002</v>
      </c>
      <c r="J29" s="24">
        <v>164319.22</v>
      </c>
      <c r="K29" s="24">
        <v>225132.37000000005</v>
      </c>
      <c r="L29" s="24">
        <v>201087.72</v>
      </c>
      <c r="M29" s="24">
        <v>208491.85</v>
      </c>
      <c r="N29" s="36">
        <v>256026.18</v>
      </c>
      <c r="O29" s="41">
        <f>313266.56+42.53</f>
        <v>313309.09000000003</v>
      </c>
      <c r="P29" s="41">
        <f>113014.64+103.71</f>
        <v>113118.35</v>
      </c>
      <c r="Q29" s="36">
        <f>153292.41+219.03</f>
        <v>153511.44</v>
      </c>
      <c r="R29" s="39">
        <f>180861.95+195.84</f>
        <v>181057.79</v>
      </c>
      <c r="S29" s="41">
        <f>172127.39+51.62</f>
        <v>172179.01</v>
      </c>
      <c r="T29" s="48">
        <f>214248.97</f>
        <v>214248.97</v>
      </c>
      <c r="U29" s="16">
        <f t="shared" si="4"/>
        <v>42069.959999999992</v>
      </c>
      <c r="V29" s="45">
        <f t="shared" si="5"/>
        <v>0.24433849398948215</v>
      </c>
    </row>
    <row r="30" spans="1:22" x14ac:dyDescent="0.2">
      <c r="A30" s="55">
        <v>601100</v>
      </c>
      <c r="B30" s="55" t="s">
        <v>318</v>
      </c>
      <c r="C30" s="1">
        <v>612205</v>
      </c>
      <c r="D30" s="1" t="s">
        <v>21</v>
      </c>
      <c r="E30" s="24"/>
      <c r="F30" s="24"/>
      <c r="G30" s="24"/>
      <c r="H30" s="24"/>
      <c r="I30" s="24"/>
      <c r="J30" s="24"/>
      <c r="K30" s="24"/>
      <c r="L30" s="24"/>
      <c r="M30" s="24"/>
      <c r="N30" s="36">
        <v>31182.98</v>
      </c>
      <c r="O30" s="41">
        <f>39418.17+80.88</f>
        <v>39499.049999999996</v>
      </c>
      <c r="P30" s="41">
        <f>39267.74+61.09</f>
        <v>39328.829999999994</v>
      </c>
      <c r="Q30" s="36">
        <f>40085.89+83.24</f>
        <v>40169.129999999997</v>
      </c>
      <c r="R30" s="39">
        <f>40708.93+86.53</f>
        <v>40795.46</v>
      </c>
      <c r="S30" s="41">
        <f>31038.48+271.58</f>
        <v>31310.06</v>
      </c>
      <c r="T30" s="48">
        <f>10251.55+72.55</f>
        <v>10324.099999999999</v>
      </c>
      <c r="U30" s="16">
        <f t="shared" si="4"/>
        <v>-20985.960000000003</v>
      </c>
      <c r="V30" s="45">
        <f t="shared" si="5"/>
        <v>-0.67026252904018713</v>
      </c>
    </row>
    <row r="31" spans="1:22" x14ac:dyDescent="0.2">
      <c r="A31" s="55">
        <v>601510</v>
      </c>
      <c r="B31" s="55" t="s">
        <v>22</v>
      </c>
      <c r="C31" s="1">
        <v>612220</v>
      </c>
      <c r="D31" s="1" t="s">
        <v>22</v>
      </c>
      <c r="U31" s="16">
        <f t="shared" si="4"/>
        <v>0</v>
      </c>
      <c r="V31" s="45" t="e">
        <f t="shared" si="5"/>
        <v>#DIV/0!</v>
      </c>
    </row>
    <row r="32" spans="1:22" x14ac:dyDescent="0.2">
      <c r="A32" s="55">
        <v>601306</v>
      </c>
      <c r="B32" s="55" t="s">
        <v>324</v>
      </c>
      <c r="C32" s="1">
        <v>612230</v>
      </c>
      <c r="D32" s="1" t="s">
        <v>23</v>
      </c>
      <c r="E32" s="24">
        <v>10683.2</v>
      </c>
      <c r="F32" s="24">
        <v>14326.42</v>
      </c>
      <c r="G32" s="24">
        <v>994.5</v>
      </c>
      <c r="H32" s="24"/>
      <c r="I32" s="24">
        <v>15141.740000000002</v>
      </c>
      <c r="J32" s="24">
        <v>8157.7000000000007</v>
      </c>
      <c r="K32" s="24">
        <v>34678.729999999996</v>
      </c>
      <c r="L32" s="24">
        <v>24520.510000000002</v>
      </c>
      <c r="M32" s="24">
        <v>25374.699999999997</v>
      </c>
      <c r="N32" s="36">
        <v>28639</v>
      </c>
      <c r="O32" s="41">
        <f>9408+198.47</f>
        <v>9606.4699999999993</v>
      </c>
      <c r="P32" s="41">
        <f>78.85</f>
        <v>78.849999999999994</v>
      </c>
      <c r="Q32" s="36">
        <f>34760+85.89</f>
        <v>34845.89</v>
      </c>
      <c r="R32" s="39">
        <f>54412+279.52</f>
        <v>54691.519999999997</v>
      </c>
      <c r="S32" s="41">
        <f>105968.6+432.36</f>
        <v>106400.96000000001</v>
      </c>
      <c r="T32" s="48">
        <f>33989.4+516.23</f>
        <v>34505.630000000005</v>
      </c>
      <c r="U32" s="16">
        <f t="shared" si="4"/>
        <v>-71895.33</v>
      </c>
      <c r="V32" s="45">
        <f t="shared" si="5"/>
        <v>-0.67570189216337895</v>
      </c>
    </row>
    <row r="33" spans="1:22" x14ac:dyDescent="0.2">
      <c r="A33" s="55">
        <v>601303</v>
      </c>
      <c r="B33" s="55" t="s">
        <v>321</v>
      </c>
      <c r="C33" s="1">
        <v>612235</v>
      </c>
      <c r="D33" s="1" t="s">
        <v>24</v>
      </c>
      <c r="E33" s="24"/>
      <c r="F33" s="24"/>
      <c r="G33" s="24"/>
      <c r="H33" s="24">
        <v>29326</v>
      </c>
      <c r="I33" s="24">
        <v>35766.5</v>
      </c>
      <c r="J33" s="24">
        <v>9712.3000000000011</v>
      </c>
      <c r="K33" s="24"/>
      <c r="L33" s="24"/>
      <c r="M33" s="24"/>
      <c r="N33" s="35"/>
      <c r="O33" s="34"/>
      <c r="P33" s="34"/>
      <c r="Q33" s="34"/>
      <c r="R33" s="34">
        <v>585.47</v>
      </c>
      <c r="S33" s="34">
        <f>125.43</f>
        <v>125.43</v>
      </c>
      <c r="T33" s="22">
        <f>198.1</f>
        <v>198.1</v>
      </c>
      <c r="U33" s="16">
        <f t="shared" si="4"/>
        <v>72.669999999999987</v>
      </c>
      <c r="V33" s="45">
        <f t="shared" si="5"/>
        <v>0.57936697759706601</v>
      </c>
    </row>
    <row r="34" spans="1:22" x14ac:dyDescent="0.2">
      <c r="A34" s="55">
        <v>601304</v>
      </c>
      <c r="B34" s="55" t="s">
        <v>322</v>
      </c>
      <c r="C34" s="1">
        <v>612300</v>
      </c>
      <c r="D34" s="1" t="s">
        <v>25</v>
      </c>
      <c r="E34" s="24">
        <v>17311.96</v>
      </c>
      <c r="F34" s="24">
        <v>11205.04</v>
      </c>
      <c r="G34" s="24">
        <v>6999.84</v>
      </c>
      <c r="H34" s="24">
        <v>7013.96</v>
      </c>
      <c r="I34" s="24">
        <v>8555.49</v>
      </c>
      <c r="J34" s="24"/>
      <c r="K34" s="24">
        <v>4400</v>
      </c>
      <c r="L34" s="24">
        <v>4800</v>
      </c>
      <c r="M34" s="24"/>
      <c r="N34" s="35"/>
      <c r="O34" s="41">
        <v>3600</v>
      </c>
      <c r="P34" s="41"/>
      <c r="Q34" s="36">
        <v>13275</v>
      </c>
      <c r="R34" s="39">
        <v>14770</v>
      </c>
      <c r="S34" s="39"/>
      <c r="T34" s="51"/>
      <c r="U34" s="16">
        <f t="shared" si="4"/>
        <v>0</v>
      </c>
      <c r="V34" s="45" t="e">
        <f t="shared" si="5"/>
        <v>#DIV/0!</v>
      </c>
    </row>
    <row r="35" spans="1:22" x14ac:dyDescent="0.2">
      <c r="A35" s="55">
        <v>601305</v>
      </c>
      <c r="B35" s="55" t="s">
        <v>323</v>
      </c>
      <c r="C35" s="1">
        <v>612305</v>
      </c>
      <c r="D35" s="1" t="s">
        <v>26</v>
      </c>
      <c r="E35" s="24"/>
      <c r="F35" s="24"/>
      <c r="G35" s="24"/>
      <c r="H35" s="24"/>
      <c r="I35" s="24"/>
      <c r="J35" s="24">
        <v>2499.9900000000002</v>
      </c>
      <c r="K35" s="24"/>
      <c r="L35" s="24"/>
      <c r="M35" s="24">
        <v>100</v>
      </c>
      <c r="N35" s="36">
        <v>2925</v>
      </c>
      <c r="O35" s="34"/>
      <c r="P35" s="34"/>
      <c r="Q35" s="34"/>
      <c r="R35" s="34"/>
      <c r="S35" s="34"/>
      <c r="T35" s="22"/>
      <c r="U35" s="16">
        <f t="shared" si="4"/>
        <v>0</v>
      </c>
      <c r="V35" s="45" t="e">
        <f t="shared" si="5"/>
        <v>#DIV/0!</v>
      </c>
    </row>
    <row r="36" spans="1:22" x14ac:dyDescent="0.2">
      <c r="A36" s="55">
        <v>601400</v>
      </c>
      <c r="B36" s="55" t="s">
        <v>325</v>
      </c>
      <c r="C36" s="1">
        <v>612410</v>
      </c>
      <c r="D36" s="1" t="s">
        <v>27</v>
      </c>
      <c r="E36" s="24">
        <v>20640.300000000003</v>
      </c>
      <c r="F36" s="24">
        <v>40125.21</v>
      </c>
      <c r="G36" s="24">
        <v>17706.02</v>
      </c>
      <c r="H36" s="24">
        <v>27180.969999999998</v>
      </c>
      <c r="I36" s="24">
        <v>61611.06</v>
      </c>
      <c r="J36" s="24">
        <v>42847.57</v>
      </c>
      <c r="K36" s="24">
        <v>43844.9</v>
      </c>
      <c r="L36" s="24">
        <v>39639.379999999997</v>
      </c>
      <c r="M36" s="24">
        <v>35785.74</v>
      </c>
      <c r="N36" s="36">
        <v>29508.149999999998</v>
      </c>
      <c r="O36" s="41">
        <f>21718.27+632.46</f>
        <v>22350.73</v>
      </c>
      <c r="P36" s="41">
        <f>28150.63+566.58</f>
        <v>28717.210000000003</v>
      </c>
      <c r="Q36" s="36">
        <f>52041.96+631.21</f>
        <v>52673.17</v>
      </c>
      <c r="R36" s="39">
        <f>69793.69+2134.2</f>
        <v>71927.89</v>
      </c>
      <c r="S36" s="41">
        <f>96282.2+1994.37</f>
        <v>98276.569999999992</v>
      </c>
      <c r="T36" s="48">
        <f>46204.65+483.12</f>
        <v>46687.770000000004</v>
      </c>
      <c r="U36" s="16">
        <f t="shared" si="4"/>
        <v>-51588.799999999988</v>
      </c>
      <c r="V36" s="45">
        <f t="shared" si="5"/>
        <v>-0.52493488529361565</v>
      </c>
    </row>
    <row r="37" spans="1:22" x14ac:dyDescent="0.2">
      <c r="A37" s="55">
        <v>601401</v>
      </c>
      <c r="B37" s="55" t="s">
        <v>431</v>
      </c>
      <c r="C37" s="1">
        <v>612420</v>
      </c>
      <c r="D37" s="1" t="s">
        <v>28</v>
      </c>
      <c r="H37" s="4"/>
      <c r="I37" s="4"/>
      <c r="J37" s="4"/>
      <c r="K37" s="4"/>
      <c r="L37" s="4"/>
      <c r="M37" s="4"/>
      <c r="N37" s="35"/>
      <c r="O37" s="4"/>
      <c r="P37" s="4"/>
      <c r="Q37" s="4"/>
      <c r="R37" s="4"/>
      <c r="S37" s="4"/>
      <c r="T37" s="4"/>
      <c r="U37" s="16">
        <f t="shared" si="4"/>
        <v>0</v>
      </c>
      <c r="V37" s="45" t="e">
        <f t="shared" si="5"/>
        <v>#DIV/0!</v>
      </c>
    </row>
    <row r="38" spans="1:22" x14ac:dyDescent="0.2">
      <c r="A38" s="55">
        <v>601404</v>
      </c>
      <c r="B38" s="55" t="s">
        <v>327</v>
      </c>
      <c r="C38" s="1">
        <v>612510</v>
      </c>
      <c r="D38" s="1" t="s">
        <v>29</v>
      </c>
      <c r="H38" s="4"/>
      <c r="I38" s="22">
        <v>337.02</v>
      </c>
      <c r="J38" s="22">
        <v>1351.86</v>
      </c>
      <c r="K38" s="4">
        <v>620.55999999999995</v>
      </c>
      <c r="L38" s="4">
        <v>646.64</v>
      </c>
      <c r="M38" s="4">
        <v>1871.15</v>
      </c>
      <c r="N38" s="35">
        <v>151.13999999999999</v>
      </c>
      <c r="O38" s="4">
        <f>237.54*0.75</f>
        <v>178.155</v>
      </c>
      <c r="P38" s="4">
        <f>(120.21*0.75)+2.62</f>
        <v>92.777500000000003</v>
      </c>
      <c r="Q38" s="4">
        <f>(324.09*0.75)+11.62</f>
        <v>254.6875</v>
      </c>
      <c r="R38" s="4">
        <f>(310.85*0.75)+31.12</f>
        <v>264.25749999999999</v>
      </c>
      <c r="S38" s="4">
        <f>(393.47*0.75)+96.82</f>
        <v>391.92250000000001</v>
      </c>
      <c r="T38" s="4">
        <f>(279.72*100%)+58.33</f>
        <v>338.05</v>
      </c>
      <c r="U38" s="16">
        <f t="shared" si="4"/>
        <v>-53.872500000000002</v>
      </c>
      <c r="V38" s="45">
        <f t="shared" si="5"/>
        <v>-0.13745702275322288</v>
      </c>
    </row>
    <row r="39" spans="1:22" x14ac:dyDescent="0.2">
      <c r="A39" s="55">
        <v>601405</v>
      </c>
      <c r="B39" s="55" t="s">
        <v>328</v>
      </c>
      <c r="C39" s="1">
        <v>612520</v>
      </c>
      <c r="D39" s="1" t="s">
        <v>30</v>
      </c>
      <c r="H39" s="4"/>
      <c r="I39" s="22">
        <v>112.34</v>
      </c>
      <c r="J39" s="22">
        <v>450.62</v>
      </c>
      <c r="K39" s="22">
        <v>206.85</v>
      </c>
      <c r="L39" s="22">
        <v>215.54</v>
      </c>
      <c r="M39" s="4">
        <v>623.71</v>
      </c>
      <c r="N39" s="35">
        <v>50.38</v>
      </c>
      <c r="O39" s="4">
        <f>237.54*0.25</f>
        <v>59.384999999999998</v>
      </c>
      <c r="P39" s="4">
        <f>(120.21*0.25)+0.87</f>
        <v>30.922499999999999</v>
      </c>
      <c r="Q39" s="4">
        <f>(324.09*0.25)+3.87</f>
        <v>84.892499999999998</v>
      </c>
      <c r="R39" s="4">
        <f>(310.85*0.25)+10.38-0.03</f>
        <v>88.0625</v>
      </c>
      <c r="S39" s="4">
        <f>(393.47*0.25)+32.27</f>
        <v>130.63750000000002</v>
      </c>
      <c r="T39" s="4"/>
      <c r="U39" s="16">
        <f t="shared" si="4"/>
        <v>-130.63750000000002</v>
      </c>
      <c r="V39" s="45">
        <f t="shared" si="5"/>
        <v>-1</v>
      </c>
    </row>
    <row r="40" spans="1:22" x14ac:dyDescent="0.2">
      <c r="A40" s="55">
        <v>601402</v>
      </c>
      <c r="B40" s="55" t="s">
        <v>326</v>
      </c>
      <c r="C40" s="1">
        <v>612600</v>
      </c>
      <c r="D40" s="1" t="s">
        <v>31</v>
      </c>
      <c r="E40" s="24"/>
      <c r="F40" s="24"/>
      <c r="G40" s="24"/>
      <c r="H40" s="24">
        <v>251.25</v>
      </c>
      <c r="I40" s="24"/>
      <c r="J40" s="24"/>
      <c r="K40" s="24"/>
      <c r="L40" s="24"/>
      <c r="M40" s="24"/>
      <c r="O40" s="34"/>
      <c r="P40" s="34"/>
      <c r="Q40" s="34"/>
      <c r="R40" s="34"/>
      <c r="S40" s="34"/>
      <c r="T40" s="22"/>
      <c r="U40" s="16">
        <f t="shared" si="4"/>
        <v>0</v>
      </c>
      <c r="V40" s="45" t="e">
        <f t="shared" si="5"/>
        <v>#DIV/0!</v>
      </c>
    </row>
    <row r="41" spans="1:22" x14ac:dyDescent="0.2">
      <c r="A41" s="55">
        <v>601501</v>
      </c>
      <c r="B41" s="55" t="s">
        <v>32</v>
      </c>
      <c r="C41" s="1">
        <v>613100</v>
      </c>
      <c r="D41" s="1" t="s">
        <v>32</v>
      </c>
      <c r="E41" s="24"/>
      <c r="F41" s="24"/>
      <c r="G41" s="24"/>
      <c r="H41" s="24">
        <v>247.5</v>
      </c>
      <c r="I41" s="24">
        <v>112.5</v>
      </c>
      <c r="J41" s="24"/>
      <c r="K41" s="24"/>
      <c r="L41" s="24"/>
      <c r="M41" s="24"/>
      <c r="O41" s="34">
        <f>3013.98</f>
        <v>3013.98</v>
      </c>
      <c r="P41" s="34">
        <f>2407.68</f>
        <v>2407.6799999999998</v>
      </c>
      <c r="Q41" s="34">
        <f>2724.06</f>
        <v>2724.06</v>
      </c>
      <c r="R41" s="34">
        <f>6155.15</f>
        <v>6155.15</v>
      </c>
      <c r="S41" s="34">
        <f>3404.23</f>
        <v>3404.23</v>
      </c>
      <c r="T41" s="22">
        <f>2559.87</f>
        <v>2559.87</v>
      </c>
      <c r="U41" s="16">
        <f t="shared" si="4"/>
        <v>-844.36000000000013</v>
      </c>
      <c r="V41" s="45">
        <f t="shared" si="5"/>
        <v>-0.24803259474242342</v>
      </c>
    </row>
    <row r="42" spans="1:22" x14ac:dyDescent="0.2">
      <c r="A42" s="55">
        <v>601503</v>
      </c>
      <c r="B42" s="55" t="s">
        <v>33</v>
      </c>
      <c r="C42" s="1">
        <v>613210</v>
      </c>
      <c r="D42" s="1" t="s">
        <v>33</v>
      </c>
      <c r="H42" s="4"/>
      <c r="I42" s="4"/>
      <c r="J42" s="4"/>
      <c r="K42" s="4"/>
      <c r="L42" s="4"/>
      <c r="M42" s="4"/>
      <c r="O42" s="4">
        <f>264.4</f>
        <v>264.39999999999998</v>
      </c>
      <c r="P42" s="4">
        <v>201.18</v>
      </c>
      <c r="Q42" s="4">
        <f>245.71</f>
        <v>245.71</v>
      </c>
      <c r="R42" s="51">
        <f>750.62</f>
        <v>750.62</v>
      </c>
      <c r="S42" s="51">
        <f>736.85</f>
        <v>736.85</v>
      </c>
      <c r="T42" s="51">
        <f>592.4</f>
        <v>592.4</v>
      </c>
      <c r="U42" s="16">
        <f t="shared" si="4"/>
        <v>-144.45000000000005</v>
      </c>
      <c r="V42" s="45">
        <f t="shared" si="5"/>
        <v>-0.19603718531587166</v>
      </c>
    </row>
    <row r="43" spans="1:22" x14ac:dyDescent="0.2">
      <c r="A43" s="55">
        <v>601504</v>
      </c>
      <c r="B43" s="55" t="s">
        <v>332</v>
      </c>
      <c r="C43" s="33">
        <v>613215</v>
      </c>
      <c r="D43" s="33" t="s">
        <v>275</v>
      </c>
      <c r="H43" s="4"/>
      <c r="I43" s="4"/>
      <c r="J43" s="4"/>
      <c r="K43" s="4"/>
      <c r="L43" s="4"/>
      <c r="M43" s="4"/>
      <c r="O43" s="4">
        <f>15.4</f>
        <v>15.4</v>
      </c>
      <c r="P43" s="4">
        <f>18.94</f>
        <v>18.940000000000001</v>
      </c>
      <c r="Q43" s="4">
        <f>23.82</f>
        <v>23.82</v>
      </c>
      <c r="R43" s="51">
        <f>31.78</f>
        <v>31.78</v>
      </c>
      <c r="S43" s="51">
        <f>20.53</f>
        <v>20.53</v>
      </c>
      <c r="T43" s="51">
        <f>10.8</f>
        <v>10.8</v>
      </c>
      <c r="U43" s="16">
        <f t="shared" si="4"/>
        <v>-9.73</v>
      </c>
      <c r="V43" s="45">
        <f t="shared" si="5"/>
        <v>-0.47394057476863127</v>
      </c>
    </row>
    <row r="44" spans="1:22" x14ac:dyDescent="0.2">
      <c r="A44" s="55">
        <v>601502</v>
      </c>
      <c r="B44" s="55" t="s">
        <v>331</v>
      </c>
      <c r="C44" s="1">
        <v>613220</v>
      </c>
      <c r="D44" s="1" t="s">
        <v>34</v>
      </c>
      <c r="O44" s="3">
        <f>103.58</f>
        <v>103.58</v>
      </c>
      <c r="P44" s="3">
        <f>80.69</f>
        <v>80.69</v>
      </c>
      <c r="Q44" s="3">
        <f>99.99</f>
        <v>99.99</v>
      </c>
      <c r="R44" s="51">
        <f>353.2</f>
        <v>353.2</v>
      </c>
      <c r="S44" s="51">
        <f>382.14</f>
        <v>382.14</v>
      </c>
      <c r="T44" s="51">
        <f>315.47</f>
        <v>315.47000000000003</v>
      </c>
      <c r="U44" s="16">
        <f t="shared" si="4"/>
        <v>-66.669999999999959</v>
      </c>
      <c r="V44" s="45">
        <f t="shared" si="5"/>
        <v>-0.17446485581200596</v>
      </c>
    </row>
    <row r="45" spans="1:22" x14ac:dyDescent="0.2">
      <c r="A45" s="55">
        <v>601509</v>
      </c>
      <c r="B45" s="55" t="s">
        <v>35</v>
      </c>
      <c r="C45" s="1">
        <v>613235</v>
      </c>
      <c r="D45" s="1" t="s">
        <v>35</v>
      </c>
      <c r="E45" s="24"/>
      <c r="F45" s="24"/>
      <c r="G45" s="24"/>
      <c r="H45" s="24"/>
      <c r="I45" s="24"/>
      <c r="J45" s="24">
        <v>5000</v>
      </c>
      <c r="K45" s="24"/>
      <c r="L45" s="24"/>
      <c r="M45" s="24"/>
      <c r="O45" s="34"/>
      <c r="P45" s="34"/>
      <c r="Q45" s="34"/>
      <c r="R45" s="34"/>
      <c r="S45" s="34">
        <f>7.7</f>
        <v>7.7</v>
      </c>
      <c r="T45" s="22">
        <v>61.3</v>
      </c>
      <c r="U45" s="16">
        <f t="shared" si="4"/>
        <v>53.599999999999994</v>
      </c>
      <c r="V45" s="45">
        <f t="shared" si="5"/>
        <v>6.9610389610389598</v>
      </c>
    </row>
    <row r="46" spans="1:22" x14ac:dyDescent="0.2">
      <c r="A46" s="55">
        <v>601513</v>
      </c>
      <c r="B46" s="55" t="s">
        <v>432</v>
      </c>
      <c r="C46" s="1">
        <v>613400</v>
      </c>
      <c r="D46" s="1" t="s">
        <v>36</v>
      </c>
      <c r="E46" s="24">
        <v>5708.9000000000005</v>
      </c>
      <c r="F46" s="24">
        <v>-27436.9</v>
      </c>
      <c r="G46" s="24">
        <v>5157.38</v>
      </c>
      <c r="H46" s="24">
        <v>-3537.78</v>
      </c>
      <c r="I46" s="24">
        <v>1416.94</v>
      </c>
      <c r="J46" s="24">
        <v>-28345.57</v>
      </c>
      <c r="K46" s="24">
        <v>6837.22</v>
      </c>
      <c r="L46" s="24">
        <v>-6532.95</v>
      </c>
      <c r="M46" s="24">
        <v>5288.89</v>
      </c>
      <c r="N46" s="36">
        <v>5058.3100000000004</v>
      </c>
      <c r="O46" s="41">
        <f>2790.82+(-40.92)</f>
        <v>2749.9</v>
      </c>
      <c r="P46" s="41">
        <f>4859.15+(-106.88)</f>
        <v>4752.2699999999995</v>
      </c>
      <c r="Q46" s="36">
        <f>6461.79+(-315.68)</f>
        <v>6146.11</v>
      </c>
      <c r="R46" s="39">
        <f>-3249.42+796.28</f>
        <v>-2453.1400000000003</v>
      </c>
      <c r="S46" s="41">
        <f>68219.6+(-290.17)</f>
        <v>67929.430000000008</v>
      </c>
      <c r="T46" s="41">
        <f>(-88880.04)+612.03</f>
        <v>-88268.01</v>
      </c>
      <c r="U46" s="16">
        <f t="shared" si="4"/>
        <v>-156197.44</v>
      </c>
      <c r="V46" s="45">
        <f t="shared" si="5"/>
        <v>-2.2994074880357451</v>
      </c>
    </row>
    <row r="47" spans="1:22" x14ac:dyDescent="0.2">
      <c r="A47" s="55">
        <v>601508</v>
      </c>
      <c r="B47" s="55" t="s">
        <v>307</v>
      </c>
      <c r="C47" s="1">
        <v>613410</v>
      </c>
      <c r="D47" s="1" t="s">
        <v>37</v>
      </c>
      <c r="U47" s="16">
        <f t="shared" si="4"/>
        <v>0</v>
      </c>
      <c r="V47" s="45" t="e">
        <f t="shared" si="5"/>
        <v>#DIV/0!</v>
      </c>
    </row>
    <row r="48" spans="1:22" x14ac:dyDescent="0.2">
      <c r="A48" s="55">
        <v>601500</v>
      </c>
      <c r="B48" s="55" t="s">
        <v>330</v>
      </c>
      <c r="C48" s="1">
        <v>621100</v>
      </c>
      <c r="D48" s="1" t="s">
        <v>38</v>
      </c>
      <c r="E48" s="24"/>
      <c r="F48" s="24"/>
      <c r="G48" s="24"/>
      <c r="H48" s="24"/>
      <c r="I48" s="24">
        <v>164.73</v>
      </c>
      <c r="J48" s="24">
        <v>140.25</v>
      </c>
      <c r="K48" s="24">
        <v>122.28</v>
      </c>
      <c r="L48" s="24">
        <v>242.48000000000002</v>
      </c>
      <c r="M48" s="24">
        <v>222.85</v>
      </c>
      <c r="N48" s="36">
        <v>555.83000000000004</v>
      </c>
      <c r="O48" s="41">
        <f>481.03+211.68</f>
        <v>692.71</v>
      </c>
      <c r="P48" s="41">
        <f>518.27+161.49</f>
        <v>679.76</v>
      </c>
      <c r="Q48" s="36">
        <f>509.91+223.85</f>
        <v>733.76</v>
      </c>
      <c r="R48" s="39">
        <f>1458.22+590.84</f>
        <v>2049.06</v>
      </c>
      <c r="S48" s="41">
        <f>2385.01+649.83</f>
        <v>3034.84</v>
      </c>
      <c r="T48" s="41">
        <f>3767.34+481.24</f>
        <v>4248.58</v>
      </c>
      <c r="U48" s="16">
        <f t="shared" si="4"/>
        <v>1213.7399999999998</v>
      </c>
      <c r="V48" s="45">
        <f t="shared" si="5"/>
        <v>0.39993541669412547</v>
      </c>
    </row>
    <row r="49" spans="1:22" x14ac:dyDescent="0.2">
      <c r="A49" s="55">
        <v>601500</v>
      </c>
      <c r="B49" s="55" t="s">
        <v>330</v>
      </c>
      <c r="C49" s="1">
        <v>621110</v>
      </c>
      <c r="D49" s="1" t="s">
        <v>39</v>
      </c>
      <c r="N49" s="35"/>
      <c r="U49" s="16">
        <f t="shared" si="4"/>
        <v>0</v>
      </c>
      <c r="V49" s="45" t="e">
        <f t="shared" si="5"/>
        <v>#DIV/0!</v>
      </c>
    </row>
    <row r="50" spans="1:22" x14ac:dyDescent="0.2">
      <c r="A50" s="55">
        <v>601500</v>
      </c>
      <c r="B50" s="55" t="s">
        <v>330</v>
      </c>
      <c r="C50" s="1">
        <v>621120</v>
      </c>
      <c r="D50" s="1" t="s">
        <v>40</v>
      </c>
      <c r="N50" s="35"/>
      <c r="U50" s="16">
        <f t="shared" si="4"/>
        <v>0</v>
      </c>
      <c r="V50" s="45" t="e">
        <f t="shared" si="5"/>
        <v>#DIV/0!</v>
      </c>
    </row>
    <row r="51" spans="1:22" x14ac:dyDescent="0.2">
      <c r="A51" s="55">
        <v>601500</v>
      </c>
      <c r="B51" s="55" t="s">
        <v>330</v>
      </c>
      <c r="C51" s="1">
        <v>621130</v>
      </c>
      <c r="D51" s="1" t="s">
        <v>41</v>
      </c>
      <c r="N51" s="35"/>
      <c r="U51" s="16">
        <f t="shared" si="4"/>
        <v>0</v>
      </c>
      <c r="V51" s="45" t="e">
        <f t="shared" si="5"/>
        <v>#DIV/0!</v>
      </c>
    </row>
    <row r="52" spans="1:22" x14ac:dyDescent="0.2">
      <c r="A52" s="55">
        <v>601500</v>
      </c>
      <c r="B52" s="55" t="s">
        <v>330</v>
      </c>
      <c r="C52" s="1">
        <v>621140</v>
      </c>
      <c r="D52" s="1" t="s">
        <v>42</v>
      </c>
      <c r="E52" s="24">
        <v>4311.6000000000004</v>
      </c>
      <c r="F52" s="24">
        <v>3149.05</v>
      </c>
      <c r="G52" s="24">
        <v>1189.52</v>
      </c>
      <c r="H52" s="24">
        <v>2157.1</v>
      </c>
      <c r="I52" s="24">
        <v>2450.2000000000003</v>
      </c>
      <c r="J52" s="24">
        <v>-1747.9</v>
      </c>
      <c r="K52" s="24"/>
      <c r="L52" s="24"/>
      <c r="M52" s="24"/>
      <c r="O52" s="34">
        <f>193.85</f>
        <v>193.85</v>
      </c>
      <c r="P52" s="34">
        <f>116.07</f>
        <v>116.07</v>
      </c>
      <c r="Q52" s="36">
        <f>465.36+182.02</f>
        <v>647.38</v>
      </c>
      <c r="R52" s="36"/>
      <c r="S52" s="36"/>
      <c r="T52" s="36"/>
      <c r="U52" s="16">
        <f t="shared" si="4"/>
        <v>0</v>
      </c>
      <c r="V52" s="45" t="e">
        <f t="shared" si="5"/>
        <v>#DIV/0!</v>
      </c>
    </row>
    <row r="53" spans="1:22" x14ac:dyDescent="0.2">
      <c r="A53" s="55">
        <v>601500</v>
      </c>
      <c r="B53" s="55" t="s">
        <v>330</v>
      </c>
      <c r="C53" s="1">
        <v>621150</v>
      </c>
      <c r="D53" s="1" t="s">
        <v>43</v>
      </c>
      <c r="P53" s="3">
        <f>25.46</f>
        <v>25.46</v>
      </c>
      <c r="Q53" s="51"/>
      <c r="R53" s="51"/>
      <c r="S53" s="51"/>
      <c r="T53" s="51"/>
      <c r="U53" s="16">
        <f t="shared" si="4"/>
        <v>0</v>
      </c>
      <c r="V53" s="45" t="e">
        <f t="shared" si="5"/>
        <v>#DIV/0!</v>
      </c>
    </row>
    <row r="54" spans="1:22" x14ac:dyDescent="0.2">
      <c r="A54" s="55">
        <v>601505</v>
      </c>
      <c r="B54" s="55" t="s">
        <v>333</v>
      </c>
      <c r="C54" s="1">
        <v>622100</v>
      </c>
      <c r="D54" s="1" t="s">
        <v>44</v>
      </c>
      <c r="O54" s="3">
        <f>371.77</f>
        <v>371.77</v>
      </c>
      <c r="P54" s="3">
        <f>144.38</f>
        <v>144.38</v>
      </c>
      <c r="Q54" s="51">
        <f>149.51</f>
        <v>149.51</v>
      </c>
      <c r="R54" s="39">
        <f>5329.12+588.3</f>
        <v>5917.42</v>
      </c>
      <c r="S54" s="39">
        <f>1422.31</f>
        <v>1422.31</v>
      </c>
      <c r="T54" s="39">
        <f>657</f>
        <v>657</v>
      </c>
      <c r="U54" s="16">
        <f t="shared" si="4"/>
        <v>-765.31</v>
      </c>
      <c r="V54" s="45">
        <f t="shared" si="5"/>
        <v>-0.53807538440986846</v>
      </c>
    </row>
    <row r="55" spans="1:22" x14ac:dyDescent="0.2">
      <c r="A55" s="55">
        <v>601505</v>
      </c>
      <c r="B55" s="55" t="s">
        <v>333</v>
      </c>
      <c r="C55" s="1">
        <v>622140</v>
      </c>
      <c r="D55" s="1" t="s">
        <v>45</v>
      </c>
      <c r="E55" s="24"/>
      <c r="F55" s="24">
        <v>30468.36</v>
      </c>
      <c r="G55" s="24"/>
      <c r="H55" s="24">
        <v>1822.6200000000001</v>
      </c>
      <c r="I55" s="24"/>
      <c r="J55" s="24">
        <v>35213.730000000003</v>
      </c>
      <c r="K55" s="24"/>
      <c r="L55" s="24">
        <v>2823.06</v>
      </c>
      <c r="M55" s="24"/>
      <c r="O55" s="34"/>
      <c r="P55" s="34"/>
      <c r="Q55" s="52">
        <f>369.59</f>
        <v>369.59</v>
      </c>
      <c r="R55" s="52"/>
      <c r="S55" s="52"/>
      <c r="T55" s="52"/>
      <c r="U55" s="16">
        <f t="shared" si="4"/>
        <v>0</v>
      </c>
      <c r="V55" s="45" t="e">
        <f t="shared" si="5"/>
        <v>#DIV/0!</v>
      </c>
    </row>
    <row r="56" spans="1:22" x14ac:dyDescent="0.2">
      <c r="A56" s="55">
        <v>601506</v>
      </c>
      <c r="B56" s="55" t="s">
        <v>334</v>
      </c>
      <c r="C56" s="1">
        <v>623100</v>
      </c>
      <c r="D56" s="1" t="s">
        <v>46</v>
      </c>
      <c r="O56" s="3">
        <f>140.57</f>
        <v>140.57</v>
      </c>
      <c r="P56" s="3">
        <f>33.47</f>
        <v>33.47</v>
      </c>
      <c r="Q56" s="51">
        <f>50.31</f>
        <v>50.31</v>
      </c>
      <c r="R56" s="51">
        <v>156.66</v>
      </c>
      <c r="S56" s="51">
        <f>461.55</f>
        <v>461.55</v>
      </c>
      <c r="T56" s="51">
        <v>179.91</v>
      </c>
      <c r="U56" s="16">
        <f t="shared" si="4"/>
        <v>-281.64</v>
      </c>
      <c r="V56" s="45">
        <f t="shared" si="5"/>
        <v>-0.61020474488137788</v>
      </c>
    </row>
    <row r="57" spans="1:22" x14ac:dyDescent="0.2">
      <c r="A57" s="55">
        <v>601506</v>
      </c>
      <c r="B57" s="55" t="s">
        <v>334</v>
      </c>
      <c r="C57" s="1">
        <v>623110</v>
      </c>
      <c r="D57" s="1" t="s">
        <v>47</v>
      </c>
      <c r="Q57" s="51"/>
      <c r="R57" s="51"/>
      <c r="S57" s="51"/>
      <c r="T57" s="51"/>
      <c r="U57" s="16">
        <f t="shared" si="4"/>
        <v>0</v>
      </c>
      <c r="V57" s="45" t="e">
        <f t="shared" si="5"/>
        <v>#DIV/0!</v>
      </c>
    </row>
    <row r="58" spans="1:22" x14ac:dyDescent="0.2">
      <c r="A58" s="55">
        <v>601506</v>
      </c>
      <c r="B58" s="55" t="s">
        <v>334</v>
      </c>
      <c r="C58" s="1">
        <v>623120</v>
      </c>
      <c r="D58" s="1" t="s">
        <v>48</v>
      </c>
      <c r="Q58" s="51"/>
      <c r="R58" s="51"/>
      <c r="S58" s="51"/>
      <c r="T58" s="51"/>
      <c r="U58" s="16">
        <f t="shared" si="4"/>
        <v>0</v>
      </c>
      <c r="V58" s="45" t="e">
        <f t="shared" si="5"/>
        <v>#DIV/0!</v>
      </c>
    </row>
    <row r="59" spans="1:22" x14ac:dyDescent="0.2">
      <c r="A59" s="55">
        <v>601506</v>
      </c>
      <c r="B59" s="55" t="s">
        <v>334</v>
      </c>
      <c r="C59" s="1">
        <v>623140</v>
      </c>
      <c r="D59" s="1" t="s">
        <v>49</v>
      </c>
      <c r="U59" s="16">
        <f t="shared" si="4"/>
        <v>0</v>
      </c>
      <c r="V59" s="45" t="e">
        <f t="shared" si="5"/>
        <v>#DIV/0!</v>
      </c>
    </row>
    <row r="60" spans="1:22" x14ac:dyDescent="0.2">
      <c r="A60" s="55">
        <v>601506</v>
      </c>
      <c r="B60" s="55" t="s">
        <v>334</v>
      </c>
      <c r="C60" s="1">
        <v>623150</v>
      </c>
      <c r="D60" s="1" t="s">
        <v>50</v>
      </c>
      <c r="E60" s="24"/>
      <c r="F60" s="24">
        <v>7238.26</v>
      </c>
      <c r="G60" s="24"/>
      <c r="H60" s="24"/>
      <c r="I60" s="24"/>
      <c r="J60" s="24">
        <v>2238.48</v>
      </c>
      <c r="K60" s="24"/>
      <c r="L60" s="24"/>
      <c r="M60" s="24"/>
      <c r="N60" s="34"/>
      <c r="O60" s="34"/>
      <c r="P60" s="34"/>
      <c r="Q60" s="34">
        <f>103.08</f>
        <v>103.08</v>
      </c>
      <c r="R60" s="34"/>
      <c r="S60" s="34"/>
      <c r="T60" s="34"/>
      <c r="U60" s="16">
        <f t="shared" si="4"/>
        <v>0</v>
      </c>
      <c r="V60" s="45" t="e">
        <f t="shared" si="5"/>
        <v>#DIV/0!</v>
      </c>
    </row>
    <row r="61" spans="1:22" x14ac:dyDescent="0.2">
      <c r="A61" s="55">
        <v>601506</v>
      </c>
      <c r="B61" s="55" t="s">
        <v>334</v>
      </c>
      <c r="C61" s="1">
        <v>623160</v>
      </c>
      <c r="D61" s="1" t="s">
        <v>51</v>
      </c>
      <c r="U61" s="16">
        <f t="shared" si="4"/>
        <v>0</v>
      </c>
      <c r="V61" s="45" t="e">
        <f t="shared" si="5"/>
        <v>#DIV/0!</v>
      </c>
    </row>
    <row r="62" spans="1:22" x14ac:dyDescent="0.2">
      <c r="A62" s="55">
        <v>601508</v>
      </c>
      <c r="B62" s="55" t="s">
        <v>307</v>
      </c>
      <c r="C62" s="1">
        <v>624100</v>
      </c>
      <c r="D62" s="1" t="s">
        <v>52</v>
      </c>
      <c r="E62" s="24">
        <v>9050</v>
      </c>
      <c r="F62" s="24">
        <v>11840</v>
      </c>
      <c r="G62" s="24">
        <v>14482</v>
      </c>
      <c r="H62" s="24">
        <v>11233.15</v>
      </c>
      <c r="I62" s="24">
        <v>7280</v>
      </c>
      <c r="J62" s="24">
        <v>13220</v>
      </c>
      <c r="K62" s="24">
        <v>3869.58</v>
      </c>
      <c r="L62" s="24">
        <v>29525</v>
      </c>
      <c r="M62" s="24">
        <v>52966.54</v>
      </c>
      <c r="N62" s="36">
        <v>58813.67</v>
      </c>
      <c r="O62" s="41">
        <f>59563.83+2.9</f>
        <v>59566.73</v>
      </c>
      <c r="P62" s="41">
        <f>65936+55.19</f>
        <v>65991.19</v>
      </c>
      <c r="Q62" s="36">
        <f>68186.21+19.53</f>
        <v>68205.740000000005</v>
      </c>
      <c r="R62" s="68">
        <f>131697.7+68.24</f>
        <v>131765.94</v>
      </c>
      <c r="S62" s="41">
        <f>127669.8+65.85</f>
        <v>127735.65000000001</v>
      </c>
      <c r="T62" s="41">
        <f>182750.5+34.87</f>
        <v>182785.37</v>
      </c>
      <c r="U62" s="16">
        <f t="shared" si="4"/>
        <v>55049.719999999987</v>
      </c>
      <c r="V62" s="45">
        <f t="shared" si="5"/>
        <v>0.43096598326309049</v>
      </c>
    </row>
    <row r="63" spans="1:22" x14ac:dyDescent="0.2">
      <c r="A63" s="55">
        <v>601508</v>
      </c>
      <c r="B63" s="55" t="s">
        <v>307</v>
      </c>
      <c r="C63" s="23">
        <v>624110</v>
      </c>
      <c r="D63" s="23" t="s">
        <v>255</v>
      </c>
      <c r="E63" s="24">
        <v>2600</v>
      </c>
      <c r="F63" s="24">
        <v>500</v>
      </c>
      <c r="G63" s="24"/>
      <c r="H63" s="24">
        <v>1600</v>
      </c>
      <c r="I63" s="24"/>
      <c r="J63" s="24"/>
      <c r="K63" s="24">
        <v>1000</v>
      </c>
      <c r="L63" s="24"/>
      <c r="M63" s="24"/>
      <c r="N63" s="35"/>
      <c r="O63" s="34"/>
      <c r="P63" s="34"/>
      <c r="Q63" s="36"/>
      <c r="R63" s="36"/>
      <c r="S63" s="36"/>
      <c r="T63" s="36"/>
      <c r="U63" s="16">
        <f t="shared" si="4"/>
        <v>0</v>
      </c>
      <c r="V63" s="45" t="e">
        <f t="shared" si="5"/>
        <v>#DIV/0!</v>
      </c>
    </row>
    <row r="64" spans="1:22" x14ac:dyDescent="0.2">
      <c r="A64" s="55">
        <v>601508</v>
      </c>
      <c r="B64" s="55" t="s">
        <v>307</v>
      </c>
      <c r="C64" s="1">
        <v>624120</v>
      </c>
      <c r="D64" s="1" t="s">
        <v>53</v>
      </c>
      <c r="E64" s="24">
        <v>98115.8</v>
      </c>
      <c r="F64" s="24">
        <v>107447.76</v>
      </c>
      <c r="G64" s="24">
        <v>95791.48000000001</v>
      </c>
      <c r="H64" s="24">
        <v>99956.46</v>
      </c>
      <c r="I64" s="24">
        <v>115802.15</v>
      </c>
      <c r="J64" s="24">
        <v>137738.78</v>
      </c>
      <c r="K64" s="24">
        <v>114903.45999999999</v>
      </c>
      <c r="L64" s="24">
        <v>109393.5</v>
      </c>
      <c r="M64" s="24">
        <v>98625.57</v>
      </c>
      <c r="N64" s="36">
        <v>100951.08</v>
      </c>
      <c r="O64" s="41">
        <v>66992.429999999993</v>
      </c>
      <c r="P64" s="41">
        <v>70600.170000000013</v>
      </c>
      <c r="Q64" s="36">
        <v>79635.11</v>
      </c>
      <c r="R64" s="36"/>
      <c r="S64" s="36"/>
      <c r="T64" s="36"/>
      <c r="U64" s="16">
        <f t="shared" si="4"/>
        <v>0</v>
      </c>
      <c r="V64" s="45" t="e">
        <f t="shared" si="5"/>
        <v>#DIV/0!</v>
      </c>
    </row>
    <row r="65" spans="1:22" x14ac:dyDescent="0.2">
      <c r="A65" s="55">
        <v>601508</v>
      </c>
      <c r="B65" s="55" t="s">
        <v>307</v>
      </c>
      <c r="C65" s="1">
        <v>624125</v>
      </c>
      <c r="D65" s="1" t="s">
        <v>54</v>
      </c>
      <c r="E65" s="24">
        <v>3550</v>
      </c>
      <c r="F65" s="24">
        <v>1180</v>
      </c>
      <c r="G65" s="24">
        <v>1000</v>
      </c>
      <c r="H65" s="24">
        <v>850</v>
      </c>
      <c r="I65" s="24">
        <v>3082</v>
      </c>
      <c r="J65" s="24">
        <v>4250</v>
      </c>
      <c r="K65" s="24">
        <v>866.55000000000007</v>
      </c>
      <c r="L65" s="24">
        <v>2500</v>
      </c>
      <c r="M65" s="24"/>
      <c r="N65" s="36">
        <v>5000</v>
      </c>
      <c r="O65" s="41">
        <v>1200</v>
      </c>
      <c r="P65" s="41">
        <v>2700</v>
      </c>
      <c r="Q65" s="41"/>
      <c r="R65" s="41"/>
      <c r="S65" s="41"/>
      <c r="T65" s="41"/>
      <c r="U65" s="16">
        <f t="shared" si="4"/>
        <v>0</v>
      </c>
      <c r="V65" s="45" t="e">
        <f t="shared" si="5"/>
        <v>#DIV/0!</v>
      </c>
    </row>
    <row r="66" spans="1:22" x14ac:dyDescent="0.2">
      <c r="A66" s="55">
        <v>601508</v>
      </c>
      <c r="B66" s="55" t="s">
        <v>307</v>
      </c>
      <c r="C66" s="23">
        <v>624130</v>
      </c>
      <c r="D66" s="23" t="s">
        <v>256</v>
      </c>
      <c r="E66" s="24">
        <v>760</v>
      </c>
      <c r="F66" s="24">
        <v>2240</v>
      </c>
      <c r="G66" s="24"/>
      <c r="H66" s="24">
        <v>2500</v>
      </c>
      <c r="I66" s="24"/>
      <c r="J66" s="24"/>
      <c r="K66" s="24"/>
      <c r="L66" s="24">
        <v>1600</v>
      </c>
      <c r="M66" s="24"/>
      <c r="N66" s="34"/>
      <c r="O66" s="37"/>
      <c r="P66" s="37"/>
      <c r="Q66" s="37"/>
      <c r="R66" s="37"/>
      <c r="S66" s="37"/>
      <c r="T66" s="37"/>
      <c r="U66" s="16">
        <f t="shared" si="4"/>
        <v>0</v>
      </c>
      <c r="V66" s="45" t="e">
        <f t="shared" si="5"/>
        <v>#DIV/0!</v>
      </c>
    </row>
    <row r="67" spans="1:22" x14ac:dyDescent="0.2">
      <c r="A67" s="55">
        <v>601508</v>
      </c>
      <c r="B67" s="55" t="s">
        <v>307</v>
      </c>
      <c r="C67" s="23">
        <v>624140</v>
      </c>
      <c r="D67" s="23" t="s">
        <v>181</v>
      </c>
      <c r="E67" s="24"/>
      <c r="F67" s="24">
        <v>1000</v>
      </c>
      <c r="G67" s="24"/>
      <c r="H67" s="24">
        <v>1868.57</v>
      </c>
      <c r="I67" s="24">
        <v>3900</v>
      </c>
      <c r="J67" s="24">
        <v>5700</v>
      </c>
      <c r="K67" s="24">
        <v>800</v>
      </c>
      <c r="L67" s="24">
        <v>800</v>
      </c>
      <c r="M67" s="24">
        <v>3608.71</v>
      </c>
      <c r="N67" s="34"/>
      <c r="O67" s="41">
        <v>6200</v>
      </c>
      <c r="P67" s="41">
        <v>4324.5</v>
      </c>
      <c r="Q67" s="36">
        <v>3850</v>
      </c>
      <c r="R67" s="36"/>
      <c r="S67" s="36"/>
      <c r="T67" s="36"/>
      <c r="U67" s="16">
        <f t="shared" si="4"/>
        <v>0</v>
      </c>
      <c r="V67" s="45" t="e">
        <f t="shared" si="5"/>
        <v>#DIV/0!</v>
      </c>
    </row>
    <row r="68" spans="1:22" x14ac:dyDescent="0.2">
      <c r="A68" s="55">
        <v>601508</v>
      </c>
      <c r="B68" s="55" t="s">
        <v>307</v>
      </c>
      <c r="C68" s="23">
        <v>624150</v>
      </c>
      <c r="D68" s="23" t="s">
        <v>257</v>
      </c>
      <c r="E68" s="24"/>
      <c r="F68" s="24"/>
      <c r="G68" s="24"/>
      <c r="H68" s="24"/>
      <c r="I68" s="24"/>
      <c r="J68" s="24">
        <v>750</v>
      </c>
      <c r="K68" s="24"/>
      <c r="L68" s="24"/>
      <c r="M68" s="24">
        <v>1200</v>
      </c>
      <c r="N68" s="34"/>
      <c r="O68" s="34"/>
      <c r="P68" s="34"/>
      <c r="Q68" s="34"/>
      <c r="R68" s="34"/>
      <c r="S68" s="34"/>
      <c r="T68" s="34"/>
      <c r="U68" s="16">
        <f t="shared" si="4"/>
        <v>0</v>
      </c>
      <c r="V68" s="45" t="e">
        <f t="shared" si="5"/>
        <v>#DIV/0!</v>
      </c>
    </row>
    <row r="69" spans="1:22" x14ac:dyDescent="0.2">
      <c r="C69" s="3" t="s">
        <v>234</v>
      </c>
      <c r="D69" s="3" t="s">
        <v>235</v>
      </c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6">
        <f t="shared" si="4"/>
        <v>0</v>
      </c>
      <c r="V69" s="45" t="e">
        <f t="shared" si="5"/>
        <v>#DIV/0!</v>
      </c>
    </row>
    <row r="70" spans="1:22" x14ac:dyDescent="0.2">
      <c r="C70" s="1"/>
      <c r="D70" s="5" t="s">
        <v>230</v>
      </c>
      <c r="E70" s="6">
        <f t="shared" ref="E70:U70" si="6">SUM(E27:E69)</f>
        <v>300304.43</v>
      </c>
      <c r="F70" s="6">
        <f t="shared" si="6"/>
        <v>390297.37</v>
      </c>
      <c r="G70" s="6">
        <f t="shared" si="6"/>
        <v>224873.11000000002</v>
      </c>
      <c r="H70" s="6">
        <f t="shared" si="6"/>
        <v>299686.02</v>
      </c>
      <c r="I70" s="6">
        <f t="shared" si="6"/>
        <v>416031.42000000004</v>
      </c>
      <c r="J70" s="6">
        <f t="shared" si="6"/>
        <v>412561.80000000005</v>
      </c>
      <c r="K70" s="6">
        <f t="shared" si="6"/>
        <v>443393.93</v>
      </c>
      <c r="L70" s="6">
        <f t="shared" si="6"/>
        <v>423798.37999999995</v>
      </c>
      <c r="M70" s="6">
        <f t="shared" si="6"/>
        <v>436393.89</v>
      </c>
      <c r="N70" s="6">
        <f t="shared" si="6"/>
        <v>518861.72000000003</v>
      </c>
      <c r="O70" s="6">
        <f t="shared" si="6"/>
        <v>530111.45000000007</v>
      </c>
      <c r="P70" s="6">
        <f t="shared" si="6"/>
        <v>333635.88</v>
      </c>
      <c r="Q70" s="6">
        <f t="shared" si="6"/>
        <v>465996.16000000003</v>
      </c>
      <c r="R70" s="6">
        <f t="shared" si="6"/>
        <v>513448.22</v>
      </c>
      <c r="S70" s="6">
        <f t="shared" si="6"/>
        <v>614069.41</v>
      </c>
      <c r="T70" s="6">
        <f t="shared" si="6"/>
        <v>420186.42999999993</v>
      </c>
      <c r="U70" s="17">
        <f t="shared" si="6"/>
        <v>-193882.98000000004</v>
      </c>
      <c r="V70" s="45">
        <f>U70/S70</f>
        <v>-0.31573463332101176</v>
      </c>
    </row>
    <row r="71" spans="1:22" x14ac:dyDescent="0.2">
      <c r="A71" s="3">
        <v>602400</v>
      </c>
      <c r="B71" s="3" t="s">
        <v>499</v>
      </c>
      <c r="C71" s="1">
        <v>625100</v>
      </c>
      <c r="D71" s="1" t="s">
        <v>55</v>
      </c>
      <c r="E71" s="24">
        <v>5441.3899999999976</v>
      </c>
      <c r="F71" s="24">
        <v>4495.4600000000019</v>
      </c>
      <c r="G71" s="24">
        <v>3727.2700000000004</v>
      </c>
      <c r="H71" s="24">
        <v>3742.860000000001</v>
      </c>
      <c r="I71" s="24">
        <v>5103.1800000000012</v>
      </c>
      <c r="J71" s="24">
        <v>6142.0199999999941</v>
      </c>
      <c r="K71" s="24">
        <v>7344.3400000000011</v>
      </c>
      <c r="L71" s="24">
        <v>6383.720000000003</v>
      </c>
      <c r="M71" s="24">
        <v>5611.7500000000027</v>
      </c>
      <c r="N71" s="36">
        <v>7349.9600000000046</v>
      </c>
      <c r="O71" s="41">
        <f>4718.15+263.91</f>
        <v>4982.0599999999995</v>
      </c>
      <c r="P71" s="41">
        <f>3312+185.58</f>
        <v>3497.58</v>
      </c>
      <c r="Q71" s="36">
        <f>3962.07+216.32</f>
        <v>4178.3900000000003</v>
      </c>
      <c r="R71" s="39">
        <f>3400.41+358.67</f>
        <v>3759.08</v>
      </c>
      <c r="S71" s="41">
        <f>3136.65+435.79</f>
        <v>3572.44</v>
      </c>
      <c r="T71" s="41">
        <f>2277.34+312.58</f>
        <v>2589.92</v>
      </c>
      <c r="U71" s="16">
        <f t="shared" ref="U71:U84" si="7">T71-S71</f>
        <v>-982.52</v>
      </c>
      <c r="V71" s="45">
        <f t="shared" ref="V71:V84" si="8">U71/S71</f>
        <v>-0.27502771215191857</v>
      </c>
    </row>
    <row r="72" spans="1:22" x14ac:dyDescent="0.2">
      <c r="A72" s="55">
        <v>602500</v>
      </c>
      <c r="B72" s="55" t="s">
        <v>336</v>
      </c>
      <c r="C72" s="1">
        <v>626100</v>
      </c>
      <c r="D72" s="1" t="s">
        <v>56</v>
      </c>
      <c r="E72" s="24">
        <v>21185.599999999999</v>
      </c>
      <c r="F72" s="24">
        <v>2856.61</v>
      </c>
      <c r="G72" s="24">
        <v>7.34</v>
      </c>
      <c r="H72" s="24">
        <v>51.72</v>
      </c>
      <c r="I72" s="24">
        <v>35.46</v>
      </c>
      <c r="J72" s="24">
        <v>-80.12</v>
      </c>
      <c r="K72" s="24">
        <v>45.57</v>
      </c>
      <c r="L72" s="24">
        <v>185.94</v>
      </c>
      <c r="M72" s="24">
        <v>-62.45</v>
      </c>
      <c r="N72" s="42">
        <f>21.06+27.82</f>
        <v>48.879999999999995</v>
      </c>
      <c r="O72" s="41">
        <f>6.22+17.83+1.08+0.02</f>
        <v>25.149999999999995</v>
      </c>
      <c r="P72" s="41">
        <f>6.8+(-0.49)+6.52+0.01</f>
        <v>12.839999999999998</v>
      </c>
      <c r="Q72" s="36">
        <f>22.83+75.88+0.66+(-0.01)</f>
        <v>99.359999999999985</v>
      </c>
      <c r="R72" s="39">
        <f>31.19+8.45+91.16</f>
        <v>130.80000000000001</v>
      </c>
      <c r="S72" s="41">
        <f>142.19+(-20.32)+128.15+(-0.01)</f>
        <v>250.01000000000002</v>
      </c>
      <c r="T72" s="41">
        <f>10.54+82.76+24.06+(-0.02)</f>
        <v>117.34000000000002</v>
      </c>
      <c r="U72" s="16">
        <f t="shared" si="7"/>
        <v>-132.67000000000002</v>
      </c>
      <c r="V72" s="45">
        <f t="shared" si="8"/>
        <v>-0.53065877364905401</v>
      </c>
    </row>
    <row r="73" spans="1:22" x14ac:dyDescent="0.2">
      <c r="A73" s="55">
        <v>602100</v>
      </c>
      <c r="B73" s="55" t="s">
        <v>57</v>
      </c>
      <c r="C73" s="1">
        <v>626110</v>
      </c>
      <c r="D73" s="1" t="s">
        <v>57</v>
      </c>
      <c r="E73" s="24">
        <v>190.05000000000004</v>
      </c>
      <c r="F73" s="24">
        <v>158.66999999999999</v>
      </c>
      <c r="G73" s="24">
        <v>136.50000000000006</v>
      </c>
      <c r="H73" s="24">
        <v>144.99000000000007</v>
      </c>
      <c r="I73" s="24">
        <v>175.59</v>
      </c>
      <c r="J73" s="24">
        <v>70.959999999999994</v>
      </c>
      <c r="K73" s="24">
        <v>94.869999999999891</v>
      </c>
      <c r="L73" s="24">
        <v>184.94999999999993</v>
      </c>
      <c r="M73" s="24">
        <v>176.21999999999997</v>
      </c>
      <c r="N73" s="36">
        <v>252.25000000000009</v>
      </c>
      <c r="O73" s="41">
        <f>290.65+37.39</f>
        <v>328.03999999999996</v>
      </c>
      <c r="P73" s="41">
        <f>317.52+28.18</f>
        <v>345.7</v>
      </c>
      <c r="Q73" s="36">
        <f>379.8+34.23</f>
        <v>414.03000000000003</v>
      </c>
      <c r="R73" s="39">
        <f>379.45+54.13</f>
        <v>433.58</v>
      </c>
      <c r="S73" s="41">
        <f>146.9+80.66</f>
        <v>227.56</v>
      </c>
      <c r="T73" s="41">
        <f>114.61+68.06</f>
        <v>182.67000000000002</v>
      </c>
      <c r="U73" s="16">
        <f t="shared" si="7"/>
        <v>-44.889999999999986</v>
      </c>
      <c r="V73" s="45">
        <f t="shared" si="8"/>
        <v>-0.19726665494814549</v>
      </c>
    </row>
    <row r="74" spans="1:22" x14ac:dyDescent="0.2">
      <c r="A74" s="55">
        <v>602101</v>
      </c>
      <c r="B74" s="55" t="s">
        <v>58</v>
      </c>
      <c r="C74" s="1">
        <v>626120</v>
      </c>
      <c r="D74" s="1" t="s">
        <v>58</v>
      </c>
      <c r="E74" s="24">
        <v>33986.229999999996</v>
      </c>
      <c r="F74" s="24">
        <v>35335.800000000017</v>
      </c>
      <c r="G74" s="24">
        <v>44286.99</v>
      </c>
      <c r="H74" s="24">
        <v>36618.360000000015</v>
      </c>
      <c r="I74" s="24">
        <v>39692.92</v>
      </c>
      <c r="J74" s="24">
        <v>51533.130000000026</v>
      </c>
      <c r="K74" s="24">
        <v>63069.54</v>
      </c>
      <c r="L74" s="24">
        <v>60418.820000000007</v>
      </c>
      <c r="M74" s="24">
        <v>51980.870000000017</v>
      </c>
      <c r="N74" s="36">
        <v>62859.149999999987</v>
      </c>
      <c r="O74" s="41">
        <f>65398.89+9863.66</f>
        <v>75262.55</v>
      </c>
      <c r="P74" s="41">
        <f>75595.51+7877.61</f>
        <v>83473.119999999995</v>
      </c>
      <c r="Q74" s="36">
        <f>86337.79+9547.86</f>
        <v>95885.65</v>
      </c>
      <c r="R74" s="39">
        <f>50317.99+14628.51</f>
        <v>64946.5</v>
      </c>
      <c r="S74" s="41">
        <f>53199.6+18289</f>
        <v>71488.600000000006</v>
      </c>
      <c r="T74" s="41">
        <f>52445.36+14590.72</f>
        <v>67036.08</v>
      </c>
      <c r="U74" s="16">
        <f t="shared" si="7"/>
        <v>-4452.5200000000041</v>
      </c>
      <c r="V74" s="45">
        <f t="shared" si="8"/>
        <v>-6.2282937419392795E-2</v>
      </c>
    </row>
    <row r="75" spans="1:22" x14ac:dyDescent="0.2">
      <c r="A75" s="55">
        <v>602200</v>
      </c>
      <c r="B75" s="55" t="s">
        <v>59</v>
      </c>
      <c r="C75" s="1">
        <v>626130</v>
      </c>
      <c r="D75" s="1" t="s">
        <v>59</v>
      </c>
      <c r="E75" s="24">
        <v>1255.4499999999996</v>
      </c>
      <c r="F75" s="24">
        <v>538.50000000000011</v>
      </c>
      <c r="G75" s="24">
        <v>359.62999999999994</v>
      </c>
      <c r="H75" s="24">
        <v>362.08000000000004</v>
      </c>
      <c r="I75" s="24">
        <v>1322.9499999999998</v>
      </c>
      <c r="J75" s="24">
        <v>839.69000000000017</v>
      </c>
      <c r="K75" s="24">
        <v>1206.74</v>
      </c>
      <c r="L75" s="24">
        <v>1466.0300000000009</v>
      </c>
      <c r="M75" s="24">
        <v>647.46000000000049</v>
      </c>
      <c r="N75" s="36">
        <v>1007.3099999999996</v>
      </c>
      <c r="O75" s="41">
        <f>801.5+45.52</f>
        <v>847.02</v>
      </c>
      <c r="P75" s="41">
        <f>391.01+21.61</f>
        <v>412.62</v>
      </c>
      <c r="Q75" s="36">
        <f>1635.6+97.06</f>
        <v>1732.6599999999999</v>
      </c>
      <c r="R75" s="39">
        <f>1054.01+135.11</f>
        <v>1189.1199999999999</v>
      </c>
      <c r="S75" s="41">
        <f>13.07+2.15</f>
        <v>15.22</v>
      </c>
      <c r="T75" s="41">
        <f>251.49+32.87</f>
        <v>284.36</v>
      </c>
      <c r="U75" s="16">
        <f t="shared" si="7"/>
        <v>269.14</v>
      </c>
      <c r="V75" s="45">
        <f t="shared" si="8"/>
        <v>17.683311432325887</v>
      </c>
    </row>
    <row r="76" spans="1:22" x14ac:dyDescent="0.2">
      <c r="A76" s="55">
        <v>602300</v>
      </c>
      <c r="B76" s="55" t="s">
        <v>60</v>
      </c>
      <c r="C76" s="1">
        <v>626141</v>
      </c>
      <c r="D76" s="1" t="s">
        <v>60</v>
      </c>
      <c r="E76" s="24">
        <v>31634.360000000004</v>
      </c>
      <c r="F76" s="24">
        <v>30333.230000000003</v>
      </c>
      <c r="G76" s="24">
        <v>23651.280000000002</v>
      </c>
      <c r="H76" s="24">
        <v>23248.179999999997</v>
      </c>
      <c r="I76" s="24">
        <v>29281.769999999997</v>
      </c>
      <c r="J76" s="24">
        <v>32870.31</v>
      </c>
      <c r="K76" s="24">
        <v>35644.960000000014</v>
      </c>
      <c r="L76" s="24">
        <v>35330.290000000015</v>
      </c>
      <c r="M76" s="24">
        <v>35328.870000000003</v>
      </c>
      <c r="N76" s="36">
        <v>38545.920000000035</v>
      </c>
      <c r="O76" s="41">
        <f>40739.31+2330.34</f>
        <v>43069.649999999994</v>
      </c>
      <c r="P76" s="41">
        <f>31406.37+1772.89</f>
        <v>33179.26</v>
      </c>
      <c r="Q76" s="36">
        <f>39947.8+2258.91</f>
        <v>42206.710000000006</v>
      </c>
      <c r="R76" s="39">
        <f>33146.7+3774.07</f>
        <v>36920.769999999997</v>
      </c>
      <c r="S76" s="41">
        <f>32702.67+4220.06</f>
        <v>36922.729999999996</v>
      </c>
      <c r="T76" s="41">
        <f>31573.15+3463.48</f>
        <v>35036.630000000005</v>
      </c>
      <c r="U76" s="16">
        <f t="shared" si="7"/>
        <v>-1886.0999999999913</v>
      </c>
      <c r="V76" s="45">
        <f t="shared" si="8"/>
        <v>-5.1082354961293257E-2</v>
      </c>
    </row>
    <row r="77" spans="1:22" x14ac:dyDescent="0.2">
      <c r="A77" s="55">
        <v>602301</v>
      </c>
      <c r="B77" s="55" t="s">
        <v>61</v>
      </c>
      <c r="C77" s="1">
        <v>626142</v>
      </c>
      <c r="D77" s="1" t="s">
        <v>61</v>
      </c>
      <c r="E77" s="24">
        <v>7303.3600000000015</v>
      </c>
      <c r="F77" s="24">
        <v>7267.8700000000008</v>
      </c>
      <c r="G77" s="24">
        <v>5545.2200000000012</v>
      </c>
      <c r="H77" s="24">
        <v>5461.9199999999983</v>
      </c>
      <c r="I77" s="24">
        <v>7184.6500000000033</v>
      </c>
      <c r="J77" s="24">
        <v>8035.15</v>
      </c>
      <c r="K77" s="24">
        <v>8496.7800000000025</v>
      </c>
      <c r="L77" s="24">
        <v>8456.94</v>
      </c>
      <c r="M77" s="24">
        <v>8324.7299999999977</v>
      </c>
      <c r="N77" s="36">
        <v>9400.56</v>
      </c>
      <c r="O77" s="41">
        <f>9866.54+549.43</f>
        <v>10415.970000000001</v>
      </c>
      <c r="P77" s="41">
        <f>7415.72+417.39</f>
        <v>7833.1100000000006</v>
      </c>
      <c r="Q77" s="36">
        <f>9359.35+531.86</f>
        <v>9891.2100000000009</v>
      </c>
      <c r="R77" s="39">
        <f>7809.24+890.89</f>
        <v>8700.1299999999992</v>
      </c>
      <c r="S77" s="41">
        <f>7624.26+998.02</f>
        <v>8622.2800000000007</v>
      </c>
      <c r="T77" s="41">
        <f>7434.83+812.44</f>
        <v>8247.27</v>
      </c>
      <c r="U77" s="16">
        <f t="shared" si="7"/>
        <v>-375.01000000000022</v>
      </c>
      <c r="V77" s="45">
        <f t="shared" si="8"/>
        <v>-4.3493136386199498E-2</v>
      </c>
    </row>
    <row r="78" spans="1:22" x14ac:dyDescent="0.2">
      <c r="A78" s="55">
        <v>602001</v>
      </c>
      <c r="B78" s="55" t="s">
        <v>62</v>
      </c>
      <c r="C78" s="1">
        <v>626171</v>
      </c>
      <c r="D78" s="1" t="s">
        <v>62</v>
      </c>
      <c r="E78" s="24">
        <v>21785.839999999993</v>
      </c>
      <c r="F78" s="24">
        <v>24223.010000000002</v>
      </c>
      <c r="G78" s="24">
        <v>17251.75</v>
      </c>
      <c r="H78" s="24">
        <v>22512.329999999998</v>
      </c>
      <c r="I78" s="24">
        <v>33504.379999999997</v>
      </c>
      <c r="J78" s="24">
        <v>74482.290000000008</v>
      </c>
      <c r="K78" s="24">
        <v>74442.049999999988</v>
      </c>
      <c r="L78" s="24">
        <v>101759.84999999999</v>
      </c>
      <c r="M78" s="24">
        <v>146475.30000000002</v>
      </c>
      <c r="N78" s="36">
        <v>174514.55000000005</v>
      </c>
      <c r="O78" s="41">
        <f>199093.64+18915.37</f>
        <v>218009.01</v>
      </c>
      <c r="P78" s="41">
        <f>172313.53+14527.18</f>
        <v>186840.71</v>
      </c>
      <c r="Q78" s="36">
        <f>222672.41+18884.81</f>
        <v>241557.22</v>
      </c>
      <c r="R78" s="39">
        <f>214176.49+39266.73</f>
        <v>253443.22</v>
      </c>
      <c r="S78" s="41">
        <f>170196.74+43147.17</f>
        <v>213343.90999999997</v>
      </c>
      <c r="T78" s="41">
        <f>215047.8+36297.65</f>
        <v>251345.44999999998</v>
      </c>
      <c r="U78" s="16">
        <f t="shared" si="7"/>
        <v>38001.540000000008</v>
      </c>
      <c r="V78" s="45">
        <f t="shared" si="8"/>
        <v>0.17812338772641795</v>
      </c>
    </row>
    <row r="79" spans="1:22" x14ac:dyDescent="0.2">
      <c r="A79" s="55">
        <v>602000</v>
      </c>
      <c r="B79" s="55" t="s">
        <v>63</v>
      </c>
      <c r="C79" s="1">
        <v>626172</v>
      </c>
      <c r="D79" s="1" t="s">
        <v>63</v>
      </c>
      <c r="E79" s="24">
        <v>29007.000000000004</v>
      </c>
      <c r="F79" s="24">
        <v>40838.090000000011</v>
      </c>
      <c r="G79" s="24">
        <v>37656.82</v>
      </c>
      <c r="H79" s="24">
        <v>27939.820000000007</v>
      </c>
      <c r="I79" s="24">
        <v>34535.659999999996</v>
      </c>
      <c r="J79" s="24">
        <v>33952.330000000024</v>
      </c>
      <c r="K79" s="24">
        <v>29863.28000000001</v>
      </c>
      <c r="L79" s="24">
        <v>30247.78000000001</v>
      </c>
      <c r="M79" s="24">
        <v>27944.47</v>
      </c>
      <c r="N79" s="36">
        <v>26610.790000000005</v>
      </c>
      <c r="O79" s="41">
        <f>24274.01+587.29</f>
        <v>24861.3</v>
      </c>
      <c r="P79" s="41">
        <f>23075.24+518.98</f>
        <v>23594.22</v>
      </c>
      <c r="Q79" s="36">
        <f>30934.47+846.69</f>
        <v>31781.16</v>
      </c>
      <c r="R79" s="39">
        <f>20460.65+998.9</f>
        <v>21459.550000000003</v>
      </c>
      <c r="S79" s="41">
        <f>15697.33+974.23</f>
        <v>16671.560000000001</v>
      </c>
      <c r="T79" s="41">
        <f>17924.48+697.8</f>
        <v>18622.28</v>
      </c>
      <c r="U79" s="16">
        <f t="shared" si="7"/>
        <v>1950.7199999999975</v>
      </c>
      <c r="V79" s="45">
        <f t="shared" si="8"/>
        <v>0.11700884620275472</v>
      </c>
    </row>
    <row r="80" spans="1:22" x14ac:dyDescent="0.2">
      <c r="A80" s="55">
        <v>602002</v>
      </c>
      <c r="B80" s="55" t="s">
        <v>335</v>
      </c>
      <c r="C80" s="1">
        <v>626173</v>
      </c>
      <c r="D80" s="1" t="s">
        <v>64</v>
      </c>
      <c r="E80" s="24">
        <v>430.09999999999997</v>
      </c>
      <c r="F80" s="24">
        <v>3597.21</v>
      </c>
      <c r="G80" s="24">
        <v>133.19999999999999</v>
      </c>
      <c r="H80" s="24">
        <v>1140.53</v>
      </c>
      <c r="I80" s="24">
        <v>1036.48</v>
      </c>
      <c r="J80" s="24">
        <v>1642.49</v>
      </c>
      <c r="K80" s="24">
        <v>820.79000000000008</v>
      </c>
      <c r="L80" s="24">
        <v>755.54</v>
      </c>
      <c r="M80" s="24">
        <v>575.64</v>
      </c>
      <c r="N80" s="36">
        <v>13555.6</v>
      </c>
      <c r="O80" s="41">
        <v>3439.9700000000003</v>
      </c>
      <c r="P80" s="41"/>
      <c r="Q80" s="36">
        <v>191.87</v>
      </c>
      <c r="R80" s="36"/>
      <c r="S80" s="41"/>
      <c r="T80" s="41"/>
      <c r="U80" s="16">
        <f t="shared" si="7"/>
        <v>0</v>
      </c>
      <c r="V80" s="45" t="e">
        <f t="shared" si="8"/>
        <v>#DIV/0!</v>
      </c>
    </row>
    <row r="81" spans="1:22" x14ac:dyDescent="0.2">
      <c r="A81" s="55">
        <v>602501</v>
      </c>
      <c r="B81" s="55" t="s">
        <v>434</v>
      </c>
      <c r="C81" s="1">
        <v>626200</v>
      </c>
      <c r="D81" s="1" t="s">
        <v>65</v>
      </c>
      <c r="E81" s="24">
        <v>-4608.3</v>
      </c>
      <c r="F81" s="24">
        <v>-4110.46</v>
      </c>
      <c r="G81" s="24">
        <v>399.72</v>
      </c>
      <c r="H81" s="24">
        <v>-166.95000000000002</v>
      </c>
      <c r="I81" s="24">
        <v>151.14000000000001</v>
      </c>
      <c r="J81" s="24">
        <v>-3413.75</v>
      </c>
      <c r="K81" s="24">
        <v>2420.66</v>
      </c>
      <c r="L81" s="24">
        <v>-1285.75</v>
      </c>
      <c r="M81" s="24">
        <v>2803.41</v>
      </c>
      <c r="N81" s="36">
        <v>2452.4700000000003</v>
      </c>
      <c r="O81" s="41">
        <f>2720.27+(-43.95)</f>
        <v>2676.32</v>
      </c>
      <c r="P81" s="41">
        <f>2669.6+28.6</f>
        <v>2698.2</v>
      </c>
      <c r="Q81" s="36">
        <f>5839.52+387.74</f>
        <v>6227.26</v>
      </c>
      <c r="R81" s="39">
        <f>-3425.64+327.16</f>
        <v>-3098.48</v>
      </c>
      <c r="S81" s="41">
        <f>28522.4+393.37</f>
        <v>28915.77</v>
      </c>
      <c r="T81" s="41">
        <f>-40688.07+600.99</f>
        <v>-40087.08</v>
      </c>
      <c r="U81" s="16">
        <f t="shared" si="7"/>
        <v>-69002.850000000006</v>
      </c>
      <c r="V81" s="45">
        <f t="shared" si="8"/>
        <v>-2.386339703213852</v>
      </c>
    </row>
    <row r="82" spans="1:22" x14ac:dyDescent="0.2">
      <c r="A82" s="55">
        <v>602502</v>
      </c>
      <c r="B82" s="55" t="s">
        <v>66</v>
      </c>
      <c r="C82" s="1">
        <v>626210</v>
      </c>
      <c r="D82" s="1" t="s">
        <v>66</v>
      </c>
      <c r="U82" s="16">
        <f t="shared" si="7"/>
        <v>0</v>
      </c>
      <c r="V82" s="45" t="e">
        <f t="shared" si="8"/>
        <v>#DIV/0!</v>
      </c>
    </row>
    <row r="83" spans="1:22" x14ac:dyDescent="0.2">
      <c r="A83" s="55">
        <v>602503</v>
      </c>
      <c r="B83" s="55" t="s">
        <v>67</v>
      </c>
      <c r="C83" s="1">
        <v>626300</v>
      </c>
      <c r="D83" s="1" t="s">
        <v>67</v>
      </c>
      <c r="E83" s="24"/>
      <c r="F83" s="24"/>
      <c r="G83" s="24">
        <v>34.69</v>
      </c>
      <c r="H83" s="24">
        <v>-34.69</v>
      </c>
      <c r="I83" s="24"/>
      <c r="J83" s="24"/>
      <c r="K83" s="24"/>
      <c r="L83" s="24"/>
      <c r="M83" s="24"/>
      <c r="N83" s="34"/>
      <c r="O83" s="34">
        <f>9.86</f>
        <v>9.86</v>
      </c>
      <c r="P83" s="34">
        <f>126.3</f>
        <v>126.3</v>
      </c>
      <c r="Q83" s="34">
        <f>146.43</f>
        <v>146.43</v>
      </c>
      <c r="R83" s="34">
        <f>-191.54</f>
        <v>-191.54</v>
      </c>
      <c r="S83" s="34">
        <f>51.15</f>
        <v>51.15</v>
      </c>
      <c r="T83" s="34">
        <v>82.02</v>
      </c>
      <c r="U83" s="16">
        <f t="shared" si="7"/>
        <v>30.869999999999997</v>
      </c>
      <c r="V83" s="45">
        <f t="shared" si="8"/>
        <v>0.60351906158357771</v>
      </c>
    </row>
    <row r="84" spans="1:22" x14ac:dyDescent="0.2">
      <c r="C84" s="3" t="s">
        <v>234</v>
      </c>
      <c r="D84" s="3" t="s">
        <v>235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6">
        <f t="shared" si="7"/>
        <v>0</v>
      </c>
      <c r="V84" s="45" t="e">
        <f t="shared" si="8"/>
        <v>#DIV/0!</v>
      </c>
    </row>
    <row r="85" spans="1:22" x14ac:dyDescent="0.2">
      <c r="C85" s="1"/>
      <c r="D85" s="5" t="s">
        <v>231</v>
      </c>
      <c r="E85" s="6">
        <f>SUM(E71:E84)</f>
        <v>147611.08000000002</v>
      </c>
      <c r="F85" s="6">
        <f t="shared" ref="F85:T85" si="9">SUM(F71:F84)</f>
        <v>145533.99000000005</v>
      </c>
      <c r="G85" s="6">
        <f t="shared" si="9"/>
        <v>133190.41</v>
      </c>
      <c r="H85" s="6">
        <f t="shared" si="9"/>
        <v>121021.15000000002</v>
      </c>
      <c r="I85" s="6">
        <f t="shared" si="9"/>
        <v>152024.18000000002</v>
      </c>
      <c r="J85" s="6">
        <f t="shared" si="9"/>
        <v>206074.50000000003</v>
      </c>
      <c r="K85" s="6">
        <f t="shared" si="9"/>
        <v>223449.58000000002</v>
      </c>
      <c r="L85" s="6">
        <f t="shared" si="9"/>
        <v>243904.11000000004</v>
      </c>
      <c r="M85" s="6">
        <f t="shared" si="9"/>
        <v>279806.27000000008</v>
      </c>
      <c r="N85" s="6">
        <f t="shared" si="9"/>
        <v>336597.44</v>
      </c>
      <c r="O85" s="6">
        <f t="shared" si="9"/>
        <v>383926.89999999997</v>
      </c>
      <c r="P85" s="6">
        <f t="shared" si="9"/>
        <v>342013.66000000003</v>
      </c>
      <c r="Q85" s="6">
        <f t="shared" si="9"/>
        <v>434311.94999999995</v>
      </c>
      <c r="R85" s="6">
        <f t="shared" si="9"/>
        <v>387692.73000000004</v>
      </c>
      <c r="S85" s="6">
        <f t="shared" si="9"/>
        <v>380081.23000000004</v>
      </c>
      <c r="T85" s="6">
        <f t="shared" si="9"/>
        <v>343456.94</v>
      </c>
      <c r="U85" s="17">
        <f>SUM(U71:U84)</f>
        <v>-36624.289999999994</v>
      </c>
      <c r="V85" s="45">
        <f>U85/S85</f>
        <v>-9.6359112498136223E-2</v>
      </c>
    </row>
    <row r="86" spans="1:22" x14ac:dyDescent="0.2"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8"/>
      <c r="V86" s="45"/>
    </row>
    <row r="87" spans="1:22" x14ac:dyDescent="0.2">
      <c r="C87" s="1"/>
      <c r="D87" s="5" t="s">
        <v>232</v>
      </c>
      <c r="E87" s="7">
        <f t="shared" ref="E87:U87" si="10">E26+E70+E85</f>
        <v>762734.72</v>
      </c>
      <c r="F87" s="7">
        <f t="shared" si="10"/>
        <v>737348.12000000011</v>
      </c>
      <c r="G87" s="7">
        <f t="shared" si="10"/>
        <v>573183.58000000007</v>
      </c>
      <c r="H87" s="7">
        <f t="shared" si="10"/>
        <v>581894.17000000004</v>
      </c>
      <c r="I87" s="7">
        <f t="shared" si="10"/>
        <v>724017.3600000001</v>
      </c>
      <c r="J87" s="7">
        <f t="shared" si="10"/>
        <v>802199.58000000007</v>
      </c>
      <c r="K87" s="7">
        <f t="shared" si="10"/>
        <v>887461.68000000017</v>
      </c>
      <c r="L87" s="7">
        <f t="shared" si="10"/>
        <v>879297.8</v>
      </c>
      <c r="M87" s="7">
        <f t="shared" si="10"/>
        <v>904877.44000000018</v>
      </c>
      <c r="N87" s="7">
        <f t="shared" si="10"/>
        <v>1051970.3800000001</v>
      </c>
      <c r="O87" s="7">
        <f t="shared" si="10"/>
        <v>1156097.31</v>
      </c>
      <c r="P87" s="7">
        <f t="shared" si="10"/>
        <v>933166.99</v>
      </c>
      <c r="Q87" s="7">
        <f t="shared" si="10"/>
        <v>1200479.74</v>
      </c>
      <c r="R87" s="7">
        <f t="shared" si="10"/>
        <v>1185631.3799999999</v>
      </c>
      <c r="S87" s="7">
        <f t="shared" si="10"/>
        <v>1279604.3</v>
      </c>
      <c r="T87" s="7">
        <f t="shared" si="10"/>
        <v>1072671.0699999998</v>
      </c>
      <c r="U87" s="19">
        <f t="shared" si="10"/>
        <v>-206933.23000000004</v>
      </c>
      <c r="V87" s="45">
        <f>U87/S87</f>
        <v>-0.16171657910183643</v>
      </c>
    </row>
    <row r="88" spans="1:22" x14ac:dyDescent="0.2">
      <c r="A88" s="55">
        <v>703000</v>
      </c>
      <c r="B88" s="55" t="s">
        <v>353</v>
      </c>
      <c r="C88" s="1">
        <v>711100</v>
      </c>
      <c r="D88" s="1" t="s">
        <v>68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>
        <v>133</v>
      </c>
      <c r="U88" s="16">
        <f t="shared" ref="U88:U151" si="11">T88-S88</f>
        <v>133</v>
      </c>
      <c r="V88" s="45" t="e">
        <f t="shared" ref="V88:V151" si="12">U88/S88</f>
        <v>#DIV/0!</v>
      </c>
    </row>
    <row r="89" spans="1:22" x14ac:dyDescent="0.2">
      <c r="A89" s="55">
        <v>704200</v>
      </c>
      <c r="B89" s="55" t="s">
        <v>265</v>
      </c>
      <c r="C89" s="1">
        <v>711300</v>
      </c>
      <c r="D89" s="50" t="s">
        <v>265</v>
      </c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>
        <v>6000</v>
      </c>
      <c r="Q89" s="2"/>
      <c r="R89" s="39">
        <v>6000</v>
      </c>
      <c r="S89" s="41">
        <v>7000</v>
      </c>
      <c r="T89" s="41">
        <v>4000</v>
      </c>
      <c r="U89" s="16">
        <f t="shared" si="11"/>
        <v>-3000</v>
      </c>
      <c r="V89" s="45">
        <f t="shared" si="12"/>
        <v>-0.42857142857142855</v>
      </c>
    </row>
    <row r="90" spans="1:22" x14ac:dyDescent="0.2">
      <c r="A90" s="55">
        <v>704500</v>
      </c>
      <c r="B90" s="55" t="s">
        <v>354</v>
      </c>
      <c r="C90" s="23">
        <v>711405</v>
      </c>
      <c r="D90" s="23" t="s">
        <v>182</v>
      </c>
      <c r="E90" s="24"/>
      <c r="F90" s="24"/>
      <c r="G90" s="24"/>
      <c r="H90" s="24">
        <v>250</v>
      </c>
      <c r="I90" s="24"/>
      <c r="J90" s="24"/>
      <c r="K90" s="24"/>
      <c r="L90" s="24"/>
      <c r="M90" s="24">
        <v>0</v>
      </c>
      <c r="N90" s="36"/>
      <c r="O90" s="36"/>
      <c r="P90" s="42"/>
      <c r="Q90" s="42"/>
      <c r="R90" s="42"/>
      <c r="S90" s="42"/>
      <c r="T90" s="42">
        <f>1500+(-1500)</f>
        <v>0</v>
      </c>
      <c r="U90" s="16">
        <f t="shared" si="11"/>
        <v>0</v>
      </c>
      <c r="V90" s="45" t="e">
        <f t="shared" si="12"/>
        <v>#DIV/0!</v>
      </c>
    </row>
    <row r="91" spans="1:22" x14ac:dyDescent="0.2">
      <c r="A91" s="55">
        <v>704600</v>
      </c>
      <c r="B91" s="55" t="s">
        <v>355</v>
      </c>
      <c r="C91" s="1">
        <v>711500</v>
      </c>
      <c r="D91" s="1" t="s">
        <v>69</v>
      </c>
      <c r="U91" s="16">
        <f t="shared" si="11"/>
        <v>0</v>
      </c>
      <c r="V91" s="45" t="e">
        <f t="shared" si="12"/>
        <v>#DIV/0!</v>
      </c>
    </row>
    <row r="92" spans="1:22" x14ac:dyDescent="0.2">
      <c r="A92" s="55">
        <v>702106</v>
      </c>
      <c r="B92" s="55" t="s">
        <v>351</v>
      </c>
      <c r="C92" s="1">
        <v>713100</v>
      </c>
      <c r="D92" s="1" t="s">
        <v>70</v>
      </c>
      <c r="E92" s="24">
        <v>14600.9</v>
      </c>
      <c r="F92" s="24">
        <v>10111.460000000001</v>
      </c>
      <c r="G92" s="24">
        <v>8413.7900000000009</v>
      </c>
      <c r="H92" s="24">
        <v>7959.28</v>
      </c>
      <c r="I92" s="24">
        <v>6598.88</v>
      </c>
      <c r="J92" s="24">
        <v>6966.3</v>
      </c>
      <c r="K92" s="24">
        <v>11261.63</v>
      </c>
      <c r="L92" s="24">
        <v>8108.81</v>
      </c>
      <c r="M92" s="24">
        <v>4098.2999999999993</v>
      </c>
      <c r="N92" s="36">
        <v>2985.1400000000003</v>
      </c>
      <c r="O92" s="36">
        <v>7314.59</v>
      </c>
      <c r="P92" s="36">
        <v>7193.62</v>
      </c>
      <c r="Q92" s="36">
        <v>10491.34</v>
      </c>
      <c r="R92" s="39">
        <v>17268.190000000002</v>
      </c>
      <c r="S92" s="41">
        <v>11189.2</v>
      </c>
      <c r="T92" s="41">
        <v>674.18000000000006</v>
      </c>
      <c r="U92" s="16">
        <f t="shared" si="11"/>
        <v>-10515.02</v>
      </c>
      <c r="V92" s="45">
        <f t="shared" si="12"/>
        <v>-0.93974725628284417</v>
      </c>
    </row>
    <row r="93" spans="1:22" x14ac:dyDescent="0.2">
      <c r="A93" s="55">
        <v>702106</v>
      </c>
      <c r="B93" s="55" t="s">
        <v>351</v>
      </c>
      <c r="C93" s="1">
        <v>713101</v>
      </c>
      <c r="D93" s="1" t="s">
        <v>71</v>
      </c>
      <c r="U93" s="16">
        <f t="shared" si="11"/>
        <v>0</v>
      </c>
      <c r="V93" s="45" t="e">
        <f t="shared" si="12"/>
        <v>#DIV/0!</v>
      </c>
    </row>
    <row r="94" spans="1:22" x14ac:dyDescent="0.2">
      <c r="A94" s="55">
        <v>702109</v>
      </c>
      <c r="B94" s="55" t="s">
        <v>72</v>
      </c>
      <c r="C94" s="1">
        <v>713115</v>
      </c>
      <c r="D94" s="1" t="s">
        <v>72</v>
      </c>
      <c r="E94" s="24">
        <v>3669.6200000000003</v>
      </c>
      <c r="F94" s="24">
        <v>8242.83</v>
      </c>
      <c r="G94" s="24">
        <v>3425.06</v>
      </c>
      <c r="H94" s="24">
        <v>4617.54</v>
      </c>
      <c r="I94" s="24">
        <v>4402.1499999999996</v>
      </c>
      <c r="J94" s="24">
        <v>3124.77</v>
      </c>
      <c r="K94" s="24">
        <v>8733.34</v>
      </c>
      <c r="L94" s="24">
        <v>4481.25</v>
      </c>
      <c r="M94" s="24">
        <v>6381.8600000000006</v>
      </c>
      <c r="N94" s="36">
        <v>5236.2700000000004</v>
      </c>
      <c r="O94" s="36">
        <v>1546.81</v>
      </c>
      <c r="P94" s="36">
        <v>1251.27</v>
      </c>
      <c r="Q94" s="36">
        <v>5248.74</v>
      </c>
      <c r="R94" s="39">
        <v>4469.92</v>
      </c>
      <c r="S94" s="41">
        <v>4844.18</v>
      </c>
      <c r="T94" s="41"/>
      <c r="U94" s="16">
        <f t="shared" si="11"/>
        <v>-4844.18</v>
      </c>
      <c r="V94" s="45">
        <f t="shared" si="12"/>
        <v>-1</v>
      </c>
    </row>
    <row r="95" spans="1:22" x14ac:dyDescent="0.2">
      <c r="A95" s="55">
        <v>702111</v>
      </c>
      <c r="B95" s="55" t="s">
        <v>352</v>
      </c>
      <c r="C95" s="1">
        <v>713125</v>
      </c>
      <c r="D95" s="1" t="s">
        <v>73</v>
      </c>
      <c r="E95" s="24">
        <v>1473.64</v>
      </c>
      <c r="F95" s="24">
        <v>47608.51</v>
      </c>
      <c r="G95" s="24">
        <v>422.70000000000005</v>
      </c>
      <c r="H95" s="24">
        <v>478.79999999999995</v>
      </c>
      <c r="I95" s="24">
        <v>269.39999999999998</v>
      </c>
      <c r="J95" s="24">
        <v>1328.12</v>
      </c>
      <c r="K95" s="24">
        <v>7216.1599999999989</v>
      </c>
      <c r="L95" s="24">
        <v>11874.360000000002</v>
      </c>
      <c r="M95" s="24">
        <v>13286.380000000003</v>
      </c>
      <c r="N95" s="36">
        <v>12645.559999999998</v>
      </c>
      <c r="O95" s="36">
        <v>6195.28</v>
      </c>
      <c r="P95" s="36">
        <v>4532.0700000000006</v>
      </c>
      <c r="Q95" s="36">
        <v>12056.56</v>
      </c>
      <c r="R95" s="39">
        <v>3327.7</v>
      </c>
      <c r="S95" s="41">
        <v>340.37</v>
      </c>
      <c r="T95" s="41">
        <v>7867.159999999998</v>
      </c>
      <c r="U95" s="16">
        <f t="shared" si="11"/>
        <v>7526.7899999999981</v>
      </c>
      <c r="V95" s="45">
        <f t="shared" si="12"/>
        <v>22.113552898316531</v>
      </c>
    </row>
    <row r="96" spans="1:22" x14ac:dyDescent="0.2">
      <c r="A96" s="55">
        <v>702200</v>
      </c>
      <c r="B96" s="55" t="s">
        <v>74</v>
      </c>
      <c r="C96" s="1">
        <v>713135</v>
      </c>
      <c r="D96" s="1" t="s">
        <v>74</v>
      </c>
      <c r="E96" s="24">
        <v>19130.269999999997</v>
      </c>
      <c r="F96" s="24">
        <v>51118.109999999993</v>
      </c>
      <c r="G96" s="24">
        <v>16104.43</v>
      </c>
      <c r="H96" s="24">
        <v>19786.559999999994</v>
      </c>
      <c r="I96" s="24">
        <v>20715.910000000003</v>
      </c>
      <c r="J96" s="24">
        <v>28851.440000000002</v>
      </c>
      <c r="K96" s="24">
        <v>10060.679999999998</v>
      </c>
      <c r="L96" s="24">
        <v>10644.39</v>
      </c>
      <c r="M96" s="24">
        <v>11936.63</v>
      </c>
      <c r="N96" s="36">
        <v>6667.3700000000008</v>
      </c>
      <c r="O96" s="36">
        <v>15815.779999999999</v>
      </c>
      <c r="P96" s="36">
        <v>4342.4599999999991</v>
      </c>
      <c r="Q96" s="36">
        <v>14935.7</v>
      </c>
      <c r="R96" s="36"/>
      <c r="S96" s="36"/>
      <c r="T96" s="36"/>
      <c r="U96" s="16">
        <f t="shared" si="11"/>
        <v>0</v>
      </c>
      <c r="V96" s="45" t="e">
        <f t="shared" si="12"/>
        <v>#DIV/0!</v>
      </c>
    </row>
    <row r="97" spans="1:22" x14ac:dyDescent="0.2">
      <c r="A97" s="55">
        <v>702103</v>
      </c>
      <c r="B97" s="55" t="s">
        <v>349</v>
      </c>
      <c r="C97" s="1">
        <v>713140</v>
      </c>
      <c r="D97" s="1" t="s">
        <v>75</v>
      </c>
      <c r="Q97" s="36">
        <v>995.94</v>
      </c>
      <c r="R97" s="39">
        <v>6588.5300000000007</v>
      </c>
      <c r="S97" s="41">
        <v>4328.7700000000004</v>
      </c>
      <c r="T97" s="41">
        <v>203</v>
      </c>
      <c r="U97" s="16">
        <f t="shared" si="11"/>
        <v>-4125.7700000000004</v>
      </c>
      <c r="V97" s="45">
        <f t="shared" si="12"/>
        <v>-0.95310446154450346</v>
      </c>
    </row>
    <row r="98" spans="1:22" x14ac:dyDescent="0.2">
      <c r="A98" s="55">
        <v>705700</v>
      </c>
      <c r="B98" s="55" t="s">
        <v>437</v>
      </c>
      <c r="C98" s="1">
        <v>713145</v>
      </c>
      <c r="D98" s="1" t="s">
        <v>76</v>
      </c>
      <c r="O98" s="41">
        <v>213.71</v>
      </c>
      <c r="P98" s="41"/>
      <c r="Q98" s="41"/>
      <c r="R98" s="39">
        <v>2331</v>
      </c>
      <c r="S98" s="41">
        <v>3240</v>
      </c>
      <c r="T98" s="41">
        <v>1956.1299999999999</v>
      </c>
      <c r="U98" s="16">
        <f t="shared" si="11"/>
        <v>-1283.8700000000001</v>
      </c>
      <c r="V98" s="45">
        <f t="shared" si="12"/>
        <v>-0.3962561728395062</v>
      </c>
    </row>
    <row r="99" spans="1:22" x14ac:dyDescent="0.2">
      <c r="A99" s="55">
        <v>702112</v>
      </c>
      <c r="B99" s="55" t="s">
        <v>438</v>
      </c>
      <c r="C99" s="23">
        <v>713150</v>
      </c>
      <c r="D99" s="23" t="s">
        <v>258</v>
      </c>
      <c r="E99" s="24">
        <v>101787.95000000001</v>
      </c>
      <c r="F99" s="24">
        <v>-2713.9300000000003</v>
      </c>
      <c r="G99" s="24">
        <v>-731.3</v>
      </c>
      <c r="H99" s="24">
        <v>115.06</v>
      </c>
      <c r="I99" s="24"/>
      <c r="J99" s="24"/>
      <c r="K99" s="24"/>
      <c r="L99" s="24"/>
      <c r="M99" s="24"/>
      <c r="N99" s="34"/>
      <c r="O99" s="34"/>
      <c r="P99" s="34">
        <v>2216</v>
      </c>
      <c r="Q99" s="34"/>
      <c r="R99" s="39">
        <v>230</v>
      </c>
      <c r="S99" s="39"/>
      <c r="T99" s="39">
        <v>2242</v>
      </c>
      <c r="U99" s="16">
        <f t="shared" si="11"/>
        <v>2242</v>
      </c>
      <c r="V99" s="45" t="e">
        <f t="shared" si="12"/>
        <v>#DIV/0!</v>
      </c>
    </row>
    <row r="100" spans="1:22" x14ac:dyDescent="0.2">
      <c r="A100" s="55">
        <v>701000</v>
      </c>
      <c r="B100" s="55" t="s">
        <v>77</v>
      </c>
      <c r="C100" s="1">
        <v>721100</v>
      </c>
      <c r="D100" s="1" t="s">
        <v>77</v>
      </c>
      <c r="E100" s="24">
        <v>2537.7000000000003</v>
      </c>
      <c r="F100" s="24">
        <v>14490.42</v>
      </c>
      <c r="G100" s="24">
        <v>10716.95</v>
      </c>
      <c r="H100" s="24">
        <v>1712.1799999999998</v>
      </c>
      <c r="I100" s="24">
        <v>150</v>
      </c>
      <c r="J100" s="24"/>
      <c r="K100" s="24"/>
      <c r="L100" s="24"/>
      <c r="M100" s="24">
        <v>1268.5</v>
      </c>
      <c r="N100" s="36">
        <v>881.5</v>
      </c>
      <c r="O100" s="34"/>
      <c r="P100" s="34">
        <v>3000</v>
      </c>
      <c r="Q100" s="34"/>
      <c r="R100" s="34"/>
      <c r="S100" s="34"/>
      <c r="T100" s="34"/>
      <c r="U100" s="16">
        <f t="shared" si="11"/>
        <v>0</v>
      </c>
      <c r="V100" s="45" t="e">
        <f t="shared" si="12"/>
        <v>#DIV/0!</v>
      </c>
    </row>
    <row r="101" spans="1:22" x14ac:dyDescent="0.2">
      <c r="A101" s="55">
        <v>701001</v>
      </c>
      <c r="B101" s="55" t="s">
        <v>78</v>
      </c>
      <c r="C101" s="1">
        <v>721105</v>
      </c>
      <c r="D101" s="1" t="s">
        <v>78</v>
      </c>
      <c r="E101" s="22">
        <v>4868.3900000000003</v>
      </c>
      <c r="F101" s="22">
        <v>475.45</v>
      </c>
      <c r="G101" s="22"/>
      <c r="H101" s="22">
        <v>769</v>
      </c>
      <c r="I101" s="22">
        <v>1874.23</v>
      </c>
      <c r="J101" s="22">
        <v>833.28</v>
      </c>
      <c r="K101" s="22">
        <v>5148</v>
      </c>
      <c r="L101" s="22">
        <v>3057.18</v>
      </c>
      <c r="M101" s="22">
        <v>4053</v>
      </c>
      <c r="N101" s="42">
        <v>1946.1599999999999</v>
      </c>
      <c r="O101" s="42">
        <v>2188.69</v>
      </c>
      <c r="P101" s="42"/>
      <c r="Q101" s="42"/>
      <c r="R101" s="42"/>
      <c r="S101" s="42"/>
      <c r="T101" s="42"/>
      <c r="U101" s="16">
        <f t="shared" si="11"/>
        <v>0</v>
      </c>
      <c r="V101" s="45" t="e">
        <f t="shared" si="12"/>
        <v>#DIV/0!</v>
      </c>
    </row>
    <row r="102" spans="1:22" x14ac:dyDescent="0.2">
      <c r="A102" s="55">
        <v>701200</v>
      </c>
      <c r="B102" s="55" t="s">
        <v>338</v>
      </c>
      <c r="C102" s="1">
        <v>721110</v>
      </c>
      <c r="D102" s="1" t="s">
        <v>79</v>
      </c>
      <c r="O102" s="42"/>
      <c r="P102" s="42"/>
      <c r="Q102" s="42"/>
      <c r="R102" s="42"/>
      <c r="S102" s="42"/>
      <c r="T102" s="42"/>
      <c r="U102" s="16">
        <f t="shared" si="11"/>
        <v>0</v>
      </c>
      <c r="V102" s="45" t="e">
        <f t="shared" si="12"/>
        <v>#DIV/0!</v>
      </c>
    </row>
    <row r="103" spans="1:22" s="54" customFormat="1" x14ac:dyDescent="0.2">
      <c r="A103" s="55">
        <v>701202</v>
      </c>
      <c r="B103" s="55" t="s">
        <v>80</v>
      </c>
      <c r="C103" s="56">
        <v>721115</v>
      </c>
      <c r="D103" s="56" t="s">
        <v>80</v>
      </c>
      <c r="E103" s="59"/>
      <c r="F103" s="59">
        <v>245.76</v>
      </c>
      <c r="G103" s="59"/>
      <c r="H103" s="59"/>
      <c r="I103" s="59">
        <v>3959.56</v>
      </c>
      <c r="J103" s="59">
        <v>445</v>
      </c>
      <c r="K103" s="59"/>
      <c r="L103" s="59"/>
      <c r="M103" s="59"/>
      <c r="N103" s="60">
        <v>75</v>
      </c>
      <c r="P103" s="60">
        <v>2000</v>
      </c>
      <c r="Q103" s="48">
        <v>26365.22</v>
      </c>
      <c r="R103" s="39">
        <v>3250.55</v>
      </c>
      <c r="S103" s="39"/>
      <c r="T103" s="39"/>
      <c r="U103" s="16">
        <f t="shared" si="11"/>
        <v>0</v>
      </c>
      <c r="V103" s="45" t="e">
        <f t="shared" si="12"/>
        <v>#DIV/0!</v>
      </c>
    </row>
    <row r="104" spans="1:22" x14ac:dyDescent="0.2">
      <c r="A104" s="55">
        <v>701404</v>
      </c>
      <c r="B104" s="55" t="s">
        <v>343</v>
      </c>
      <c r="C104" s="1">
        <v>721120</v>
      </c>
      <c r="D104" s="1" t="s">
        <v>81</v>
      </c>
      <c r="E104" s="22">
        <v>8363.66</v>
      </c>
      <c r="F104" s="22">
        <v>8164.68</v>
      </c>
      <c r="G104" s="22">
        <v>8683.7999999999993</v>
      </c>
      <c r="H104" s="22">
        <v>12338.06</v>
      </c>
      <c r="I104" s="22">
        <v>3650</v>
      </c>
      <c r="J104" s="22">
        <v>7124.59</v>
      </c>
      <c r="K104" s="22">
        <v>2116.0300000000002</v>
      </c>
      <c r="L104" s="22">
        <v>5054.8</v>
      </c>
      <c r="M104" s="22">
        <v>3003</v>
      </c>
      <c r="N104" s="42">
        <v>4335</v>
      </c>
      <c r="O104" s="42">
        <v>4750</v>
      </c>
      <c r="P104" s="42">
        <v>9385.4</v>
      </c>
      <c r="Q104" s="42">
        <v>2220</v>
      </c>
      <c r="R104" s="39">
        <v>2149</v>
      </c>
      <c r="S104" s="41">
        <v>9405</v>
      </c>
      <c r="T104" s="41">
        <v>7999</v>
      </c>
      <c r="U104" s="16">
        <f t="shared" si="11"/>
        <v>-1406</v>
      </c>
      <c r="V104" s="45">
        <f t="shared" si="12"/>
        <v>-0.14949494949494949</v>
      </c>
    </row>
    <row r="105" spans="1:22" x14ac:dyDescent="0.2">
      <c r="A105" s="55">
        <v>701100</v>
      </c>
      <c r="B105" s="55" t="s">
        <v>337</v>
      </c>
      <c r="C105" s="1">
        <v>721125</v>
      </c>
      <c r="D105" s="1" t="s">
        <v>82</v>
      </c>
      <c r="E105" s="22">
        <v>325</v>
      </c>
      <c r="F105" s="22"/>
      <c r="G105" s="22"/>
      <c r="H105" s="22"/>
      <c r="I105" s="22"/>
      <c r="J105" s="22"/>
      <c r="K105" s="22"/>
      <c r="L105" s="22"/>
      <c r="M105" s="22"/>
      <c r="N105" s="42"/>
      <c r="O105" s="22"/>
      <c r="P105" s="22"/>
      <c r="Q105" s="22"/>
      <c r="R105" s="39">
        <v>179.09</v>
      </c>
      <c r="S105" s="39"/>
      <c r="T105" s="39"/>
      <c r="U105" s="16">
        <f t="shared" si="11"/>
        <v>0</v>
      </c>
      <c r="V105" s="45" t="e">
        <f t="shared" si="12"/>
        <v>#DIV/0!</v>
      </c>
    </row>
    <row r="106" spans="1:22" x14ac:dyDescent="0.2">
      <c r="A106" s="55">
        <v>701301</v>
      </c>
      <c r="B106" s="55" t="s">
        <v>339</v>
      </c>
      <c r="C106" s="1">
        <v>721135</v>
      </c>
      <c r="D106" s="1" t="s">
        <v>83</v>
      </c>
      <c r="N106" s="42"/>
      <c r="U106" s="16">
        <f t="shared" si="11"/>
        <v>0</v>
      </c>
      <c r="V106" s="45" t="e">
        <f t="shared" si="12"/>
        <v>#DIV/0!</v>
      </c>
    </row>
    <row r="107" spans="1:22" x14ac:dyDescent="0.2">
      <c r="A107" s="55">
        <v>701403</v>
      </c>
      <c r="B107" s="55" t="s">
        <v>342</v>
      </c>
      <c r="C107" s="1">
        <v>721140</v>
      </c>
      <c r="D107" s="1" t="s">
        <v>84</v>
      </c>
      <c r="E107" s="22">
        <v>5336.7</v>
      </c>
      <c r="F107" s="22">
        <v>8539.9599999999991</v>
      </c>
      <c r="G107" s="22">
        <v>7913.8600000000006</v>
      </c>
      <c r="H107" s="22">
        <v>6172.7599999999993</v>
      </c>
      <c r="I107" s="22">
        <v>8087.94</v>
      </c>
      <c r="J107" s="22">
        <v>8887.2100000000009</v>
      </c>
      <c r="K107" s="22">
        <v>6797.08</v>
      </c>
      <c r="L107" s="22">
        <v>1597.98</v>
      </c>
      <c r="M107" s="22">
        <v>825</v>
      </c>
      <c r="N107" s="42">
        <v>976.01</v>
      </c>
      <c r="O107" s="42">
        <v>5915</v>
      </c>
      <c r="P107" s="42">
        <v>945</v>
      </c>
      <c r="Q107" s="42">
        <v>537.70000000000005</v>
      </c>
      <c r="R107" s="39">
        <v>5293</v>
      </c>
      <c r="S107" s="41">
        <v>550.78</v>
      </c>
      <c r="T107" s="41">
        <v>10611.77</v>
      </c>
      <c r="U107" s="16">
        <f t="shared" si="11"/>
        <v>10060.99</v>
      </c>
      <c r="V107" s="45">
        <f t="shared" si="12"/>
        <v>18.266803442390792</v>
      </c>
    </row>
    <row r="108" spans="1:22" s="54" customFormat="1" x14ac:dyDescent="0.2">
      <c r="A108" s="55">
        <v>701302</v>
      </c>
      <c r="B108" s="55" t="s">
        <v>340</v>
      </c>
      <c r="C108" s="56">
        <v>721145</v>
      </c>
      <c r="D108" s="56" t="s">
        <v>85</v>
      </c>
      <c r="E108" s="59">
        <v>10413.33</v>
      </c>
      <c r="F108" s="59">
        <v>19367.830000000002</v>
      </c>
      <c r="G108" s="59">
        <v>11552.210000000001</v>
      </c>
      <c r="H108" s="59">
        <v>18272.11</v>
      </c>
      <c r="I108" s="59">
        <v>21533.940000000002</v>
      </c>
      <c r="J108" s="59">
        <v>310445.61</v>
      </c>
      <c r="K108" s="59">
        <v>404261.41000000003</v>
      </c>
      <c r="L108" s="59">
        <v>453869.6</v>
      </c>
      <c r="M108" s="59">
        <v>138154.26</v>
      </c>
      <c r="N108" s="60">
        <v>268671.79000000004</v>
      </c>
      <c r="O108" s="60">
        <v>323892.04000000004</v>
      </c>
      <c r="P108" s="60">
        <v>210507.1</v>
      </c>
      <c r="Q108" s="48">
        <v>60966.12</v>
      </c>
      <c r="R108" s="39">
        <v>179327.32</v>
      </c>
      <c r="S108" s="41">
        <v>125422.31</v>
      </c>
      <c r="T108" s="41">
        <v>131726.64000000001</v>
      </c>
      <c r="U108" s="16">
        <f t="shared" si="11"/>
        <v>6304.3300000000163</v>
      </c>
      <c r="V108" s="45">
        <f t="shared" si="12"/>
        <v>5.0264821306512504E-2</v>
      </c>
    </row>
    <row r="109" spans="1:22" x14ac:dyDescent="0.2">
      <c r="A109" s="55">
        <v>701400</v>
      </c>
      <c r="B109" s="55" t="s">
        <v>341</v>
      </c>
      <c r="C109" s="1">
        <v>721146</v>
      </c>
      <c r="D109" s="1" t="s">
        <v>86</v>
      </c>
      <c r="E109" s="22"/>
      <c r="F109" s="22"/>
      <c r="G109" s="22"/>
      <c r="H109" s="22">
        <v>3000</v>
      </c>
      <c r="I109" s="22">
        <v>3450</v>
      </c>
      <c r="J109" s="22"/>
      <c r="K109" s="22"/>
      <c r="L109" s="22"/>
      <c r="M109" s="22"/>
      <c r="N109" s="42">
        <v>11000</v>
      </c>
      <c r="O109" s="42"/>
      <c r="P109" s="42">
        <v>500</v>
      </c>
      <c r="Q109" s="42">
        <v>500</v>
      </c>
      <c r="R109" s="42"/>
      <c r="S109" s="41">
        <v>200</v>
      </c>
      <c r="T109" s="41"/>
      <c r="U109" s="16">
        <f t="shared" si="11"/>
        <v>-200</v>
      </c>
      <c r="V109" s="45">
        <f t="shared" si="12"/>
        <v>-1</v>
      </c>
    </row>
    <row r="110" spans="1:22" x14ac:dyDescent="0.2">
      <c r="A110" s="55">
        <v>701406</v>
      </c>
      <c r="B110" s="55" t="s">
        <v>345</v>
      </c>
      <c r="C110" s="1">
        <v>721150</v>
      </c>
      <c r="D110" s="1" t="s">
        <v>87</v>
      </c>
      <c r="E110" s="22">
        <v>5626.1500000000005</v>
      </c>
      <c r="F110" s="22">
        <v>20368.04</v>
      </c>
      <c r="G110" s="22">
        <v>1984</v>
      </c>
      <c r="H110" s="22">
        <v>16319.32</v>
      </c>
      <c r="I110" s="22">
        <v>2146.5100000000002</v>
      </c>
      <c r="J110" s="22">
        <v>1594</v>
      </c>
      <c r="K110" s="22">
        <v>56276.42</v>
      </c>
      <c r="L110" s="22">
        <v>85006.61</v>
      </c>
      <c r="M110" s="22">
        <v>27107.07</v>
      </c>
      <c r="N110" s="42">
        <v>17999</v>
      </c>
      <c r="O110" s="42">
        <v>20418</v>
      </c>
      <c r="P110" s="42">
        <v>5100</v>
      </c>
      <c r="Q110" s="42">
        <v>9000</v>
      </c>
      <c r="R110" s="39">
        <v>3440.2</v>
      </c>
      <c r="S110" s="41">
        <v>17472.5</v>
      </c>
      <c r="T110" s="41">
        <v>14361.25</v>
      </c>
      <c r="U110" s="16">
        <f t="shared" si="11"/>
        <v>-3111.25</v>
      </c>
      <c r="V110" s="45">
        <f t="shared" si="12"/>
        <v>-0.17806553154957791</v>
      </c>
    </row>
    <row r="111" spans="1:22" x14ac:dyDescent="0.2">
      <c r="A111" s="55">
        <v>701406</v>
      </c>
      <c r="B111" s="55" t="s">
        <v>345</v>
      </c>
      <c r="C111" s="57">
        <v>721152</v>
      </c>
      <c r="D111" s="57" t="s">
        <v>187</v>
      </c>
      <c r="E111" s="22"/>
      <c r="F111" s="22"/>
      <c r="G111" s="22"/>
      <c r="H111" s="22">
        <v>13640</v>
      </c>
      <c r="I111" s="22">
        <v>47452.28</v>
      </c>
      <c r="J111" s="22">
        <v>108677.52</v>
      </c>
      <c r="K111" s="22">
        <v>27971</v>
      </c>
      <c r="L111" s="22">
        <v>9705</v>
      </c>
      <c r="M111" s="22">
        <v>-464</v>
      </c>
      <c r="N111" s="42">
        <v>70</v>
      </c>
      <c r="O111" s="22"/>
      <c r="P111" s="22"/>
      <c r="Q111" s="22"/>
      <c r="R111" s="22"/>
      <c r="S111" s="22"/>
      <c r="T111" s="22"/>
      <c r="U111" s="16">
        <f t="shared" si="11"/>
        <v>0</v>
      </c>
      <c r="V111" s="45" t="e">
        <f t="shared" si="12"/>
        <v>#DIV/0!</v>
      </c>
    </row>
    <row r="112" spans="1:22" x14ac:dyDescent="0.2">
      <c r="A112" s="55">
        <v>701303</v>
      </c>
      <c r="B112" s="55" t="s">
        <v>439</v>
      </c>
      <c r="C112" s="57">
        <v>721155</v>
      </c>
      <c r="D112" s="57" t="s">
        <v>259</v>
      </c>
      <c r="E112" s="22">
        <v>19630.95</v>
      </c>
      <c r="F112" s="22"/>
      <c r="G112" s="22"/>
      <c r="H112" s="22"/>
      <c r="I112" s="22"/>
      <c r="J112" s="22"/>
      <c r="K112" s="22"/>
      <c r="L112" s="22"/>
      <c r="M112" s="22"/>
      <c r="N112" s="42"/>
      <c r="O112" s="22"/>
      <c r="P112" s="22">
        <v>25610.18</v>
      </c>
      <c r="Q112" s="42">
        <v>23787.31</v>
      </c>
      <c r="R112" s="42"/>
      <c r="S112" s="41">
        <v>25010.74</v>
      </c>
      <c r="T112" s="41"/>
      <c r="U112" s="16">
        <f t="shared" si="11"/>
        <v>-25010.74</v>
      </c>
      <c r="V112" s="45">
        <f t="shared" si="12"/>
        <v>-1</v>
      </c>
    </row>
    <row r="113" spans="1:22" x14ac:dyDescent="0.2">
      <c r="A113" s="55">
        <v>701405</v>
      </c>
      <c r="B113" s="55" t="s">
        <v>344</v>
      </c>
      <c r="C113" s="1">
        <v>721160</v>
      </c>
      <c r="D113" s="1" t="s">
        <v>88</v>
      </c>
      <c r="N113" s="42"/>
      <c r="U113" s="16">
        <f t="shared" si="11"/>
        <v>0</v>
      </c>
      <c r="V113" s="45" t="e">
        <f t="shared" si="12"/>
        <v>#DIV/0!</v>
      </c>
    </row>
    <row r="114" spans="1:22" x14ac:dyDescent="0.2">
      <c r="A114" s="55">
        <v>701500</v>
      </c>
      <c r="B114" s="55" t="s">
        <v>346</v>
      </c>
      <c r="C114" s="1">
        <v>722100</v>
      </c>
      <c r="D114" s="1" t="s">
        <v>89</v>
      </c>
      <c r="E114" s="22">
        <v>11570.46</v>
      </c>
      <c r="F114" s="22">
        <v>8124.46</v>
      </c>
      <c r="G114" s="22">
        <v>5962.5099999999993</v>
      </c>
      <c r="H114" s="22">
        <v>7681.17</v>
      </c>
      <c r="I114" s="22">
        <v>5950.2699999999995</v>
      </c>
      <c r="J114" s="22">
        <v>10491.029999999999</v>
      </c>
      <c r="K114" s="22">
        <v>4160.01</v>
      </c>
      <c r="L114" s="22">
        <v>1724.5</v>
      </c>
      <c r="M114" s="22">
        <v>8053</v>
      </c>
      <c r="N114" s="42">
        <v>7362.76</v>
      </c>
      <c r="O114" s="42">
        <v>4691</v>
      </c>
      <c r="P114" s="42">
        <v>3514</v>
      </c>
      <c r="Q114" s="42">
        <v>4165.74</v>
      </c>
      <c r="R114" s="39">
        <v>4879.79</v>
      </c>
      <c r="S114" s="41">
        <v>3042.4</v>
      </c>
      <c r="T114" s="41">
        <v>7710.81</v>
      </c>
      <c r="U114" s="16">
        <f t="shared" si="11"/>
        <v>4668.41</v>
      </c>
      <c r="V114" s="45">
        <f t="shared" si="12"/>
        <v>1.5344497764922429</v>
      </c>
    </row>
    <row r="115" spans="1:22" x14ac:dyDescent="0.2">
      <c r="A115" s="55">
        <v>701501</v>
      </c>
      <c r="B115" s="55" t="s">
        <v>90</v>
      </c>
      <c r="C115" s="1">
        <v>722105</v>
      </c>
      <c r="D115" s="1" t="s">
        <v>90</v>
      </c>
      <c r="E115" s="22">
        <v>1203</v>
      </c>
      <c r="F115" s="22">
        <v>2400</v>
      </c>
      <c r="G115" s="22">
        <v>79.95</v>
      </c>
      <c r="H115" s="22"/>
      <c r="I115" s="22"/>
      <c r="J115" s="22">
        <v>90</v>
      </c>
      <c r="K115" s="22">
        <v>120</v>
      </c>
      <c r="L115" s="22">
        <v>297</v>
      </c>
      <c r="M115" s="22"/>
      <c r="N115" s="42">
        <v>95</v>
      </c>
      <c r="O115" s="42">
        <v>51.96</v>
      </c>
      <c r="P115" s="42">
        <v>414.5</v>
      </c>
      <c r="Q115" s="42">
        <v>3055.08</v>
      </c>
      <c r="R115" s="39">
        <v>182</v>
      </c>
      <c r="S115" s="41">
        <v>202.74</v>
      </c>
      <c r="T115" s="41"/>
      <c r="U115" s="16">
        <f t="shared" si="11"/>
        <v>-202.74</v>
      </c>
      <c r="V115" s="45">
        <f t="shared" si="12"/>
        <v>-1</v>
      </c>
    </row>
    <row r="116" spans="1:22" x14ac:dyDescent="0.2">
      <c r="A116" s="55">
        <v>701502</v>
      </c>
      <c r="B116" s="55" t="s">
        <v>91</v>
      </c>
      <c r="C116" s="1">
        <v>722110</v>
      </c>
      <c r="D116" s="1" t="s">
        <v>91</v>
      </c>
      <c r="E116" s="22">
        <v>1336.2</v>
      </c>
      <c r="F116" s="22">
        <v>1685</v>
      </c>
      <c r="G116" s="22"/>
      <c r="H116" s="22"/>
      <c r="I116" s="22"/>
      <c r="J116" s="22"/>
      <c r="K116" s="22"/>
      <c r="L116" s="22">
        <v>750</v>
      </c>
      <c r="M116" s="22">
        <v>450</v>
      </c>
      <c r="N116" s="42">
        <v>500</v>
      </c>
      <c r="O116" s="42">
        <v>679</v>
      </c>
      <c r="P116" s="42">
        <v>2000</v>
      </c>
      <c r="Q116" s="42">
        <v>262.41000000000003</v>
      </c>
      <c r="R116" s="39">
        <v>800</v>
      </c>
      <c r="S116" s="39"/>
      <c r="T116" s="39"/>
      <c r="U116" s="16">
        <f t="shared" si="11"/>
        <v>0</v>
      </c>
      <c r="V116" s="45" t="e">
        <f t="shared" si="12"/>
        <v>#DIV/0!</v>
      </c>
    </row>
    <row r="117" spans="1:22" x14ac:dyDescent="0.2">
      <c r="A117" s="55">
        <v>701600</v>
      </c>
      <c r="B117" s="55" t="s">
        <v>92</v>
      </c>
      <c r="C117" s="1">
        <v>723100</v>
      </c>
      <c r="D117" s="1" t="s">
        <v>92</v>
      </c>
      <c r="N117" s="42"/>
      <c r="U117" s="16">
        <f t="shared" si="11"/>
        <v>0</v>
      </c>
      <c r="V117" s="45" t="e">
        <f t="shared" si="12"/>
        <v>#DIV/0!</v>
      </c>
    </row>
    <row r="118" spans="1:22" x14ac:dyDescent="0.2">
      <c r="A118" s="55">
        <v>701602</v>
      </c>
      <c r="B118" s="55" t="s">
        <v>93</v>
      </c>
      <c r="C118" s="1">
        <v>723120</v>
      </c>
      <c r="D118" s="1" t="s">
        <v>93</v>
      </c>
      <c r="N118" s="43"/>
      <c r="U118" s="16">
        <f t="shared" si="11"/>
        <v>0</v>
      </c>
      <c r="V118" s="45" t="e">
        <f t="shared" si="12"/>
        <v>#DIV/0!</v>
      </c>
    </row>
    <row r="119" spans="1:22" x14ac:dyDescent="0.2">
      <c r="A119" s="55">
        <v>701603</v>
      </c>
      <c r="B119" s="55" t="s">
        <v>94</v>
      </c>
      <c r="C119" s="1">
        <v>723130</v>
      </c>
      <c r="D119" s="1" t="s">
        <v>94</v>
      </c>
      <c r="E119" s="22">
        <v>5336.98</v>
      </c>
      <c r="F119" s="22">
        <v>12697.16</v>
      </c>
      <c r="G119" s="22">
        <v>3450.03</v>
      </c>
      <c r="H119" s="22">
        <v>11209.52</v>
      </c>
      <c r="I119" s="22">
        <v>6136.48</v>
      </c>
      <c r="J119" s="22">
        <v>809.67</v>
      </c>
      <c r="K119" s="22">
        <v>6565.54</v>
      </c>
      <c r="L119" s="22">
        <v>10474.32</v>
      </c>
      <c r="M119" s="22">
        <v>4124</v>
      </c>
      <c r="N119" s="42">
        <v>4719.1900000000005</v>
      </c>
      <c r="O119" s="42">
        <v>9727.5</v>
      </c>
      <c r="P119" s="42">
        <v>6205.29</v>
      </c>
      <c r="Q119" s="42">
        <v>18795</v>
      </c>
      <c r="R119" s="39">
        <v>28799.42</v>
      </c>
      <c r="S119" s="41">
        <v>4560.5300000000007</v>
      </c>
      <c r="T119" s="41"/>
      <c r="U119" s="16">
        <f t="shared" si="11"/>
        <v>-4560.5300000000007</v>
      </c>
      <c r="V119" s="45">
        <f t="shared" si="12"/>
        <v>-1</v>
      </c>
    </row>
    <row r="120" spans="1:22" x14ac:dyDescent="0.2">
      <c r="A120" s="55">
        <v>705102</v>
      </c>
      <c r="B120" s="55" t="s">
        <v>362</v>
      </c>
      <c r="C120" s="1">
        <v>731205</v>
      </c>
      <c r="D120" s="1" t="s">
        <v>95</v>
      </c>
      <c r="N120" s="43"/>
      <c r="U120" s="16">
        <f t="shared" si="11"/>
        <v>0</v>
      </c>
      <c r="V120" s="45" t="e">
        <f t="shared" si="12"/>
        <v>#DIV/0!</v>
      </c>
    </row>
    <row r="121" spans="1:22" x14ac:dyDescent="0.2">
      <c r="A121" s="55">
        <v>705000</v>
      </c>
      <c r="B121" s="55" t="s">
        <v>356</v>
      </c>
      <c r="C121" s="1">
        <v>732100</v>
      </c>
      <c r="D121" s="1" t="s">
        <v>96</v>
      </c>
      <c r="E121" s="22">
        <v>5006.34</v>
      </c>
      <c r="F121" s="22">
        <v>3770.6899999999996</v>
      </c>
      <c r="G121" s="22">
        <v>1284.6599999999999</v>
      </c>
      <c r="H121" s="22">
        <v>2239.36</v>
      </c>
      <c r="I121" s="22">
        <v>7212.13</v>
      </c>
      <c r="J121" s="22">
        <v>2315.88</v>
      </c>
      <c r="K121" s="22">
        <v>8117.59</v>
      </c>
      <c r="L121" s="22">
        <v>3542.18</v>
      </c>
      <c r="M121" s="22">
        <v>1265.83</v>
      </c>
      <c r="N121" s="42">
        <v>1338.4799999999998</v>
      </c>
      <c r="O121" s="42">
        <v>3516.27</v>
      </c>
      <c r="P121" s="42">
        <v>1293.28</v>
      </c>
      <c r="Q121" s="42">
        <v>3298.75</v>
      </c>
      <c r="R121" s="39">
        <v>4881.0200000000004</v>
      </c>
      <c r="S121" s="41">
        <v>4316.21</v>
      </c>
      <c r="T121" s="41">
        <v>26912.019999999997</v>
      </c>
      <c r="U121" s="16">
        <f t="shared" si="11"/>
        <v>22595.809999999998</v>
      </c>
      <c r="V121" s="45">
        <f t="shared" si="12"/>
        <v>5.2351044087289536</v>
      </c>
    </row>
    <row r="122" spans="1:22" x14ac:dyDescent="0.2">
      <c r="A122" s="55">
        <v>705100</v>
      </c>
      <c r="B122" s="55" t="s">
        <v>360</v>
      </c>
      <c r="C122" s="1">
        <v>732105</v>
      </c>
      <c r="D122" s="1" t="s">
        <v>97</v>
      </c>
      <c r="E122" s="22">
        <v>107580.68999999997</v>
      </c>
      <c r="F122" s="22">
        <v>71219.599999999991</v>
      </c>
      <c r="G122" s="22">
        <v>77088.44</v>
      </c>
      <c r="H122" s="22">
        <v>66888.56</v>
      </c>
      <c r="I122" s="22">
        <v>81638.970000000016</v>
      </c>
      <c r="J122" s="22">
        <v>87078.920000000013</v>
      </c>
      <c r="K122" s="22">
        <v>89889.27</v>
      </c>
      <c r="L122" s="22">
        <v>83052.36</v>
      </c>
      <c r="M122" s="22">
        <v>100058.2</v>
      </c>
      <c r="N122" s="42">
        <v>108049.65000000002</v>
      </c>
      <c r="O122" s="42">
        <v>152521.06999999998</v>
      </c>
      <c r="P122" s="42">
        <v>129200.91999999998</v>
      </c>
      <c r="Q122" s="42">
        <v>136371.95000000001</v>
      </c>
      <c r="R122" s="39">
        <v>143314.94</v>
      </c>
      <c r="S122" s="41">
        <v>78901.830000000016</v>
      </c>
      <c r="T122" s="41">
        <v>-671.6</v>
      </c>
      <c r="U122" s="16">
        <f t="shared" si="11"/>
        <v>-79573.430000000022</v>
      </c>
      <c r="V122" s="45">
        <f t="shared" si="12"/>
        <v>-1.0085118431346904</v>
      </c>
    </row>
    <row r="123" spans="1:22" x14ac:dyDescent="0.2">
      <c r="A123" s="72">
        <v>705101</v>
      </c>
      <c r="B123" s="72" t="s">
        <v>361</v>
      </c>
      <c r="C123" s="72">
        <v>731105</v>
      </c>
      <c r="D123" s="72" t="s">
        <v>189</v>
      </c>
      <c r="E123" s="22"/>
      <c r="F123" s="22"/>
      <c r="G123" s="22"/>
      <c r="H123" s="22"/>
      <c r="I123" s="22"/>
      <c r="J123" s="22"/>
      <c r="K123" s="22"/>
      <c r="L123" s="22"/>
      <c r="M123" s="22"/>
      <c r="N123" s="42"/>
      <c r="O123" s="42"/>
      <c r="P123" s="42"/>
      <c r="Q123" s="42"/>
      <c r="R123" s="39"/>
      <c r="S123" s="41">
        <v>588</v>
      </c>
      <c r="T123" s="41"/>
      <c r="U123" s="16">
        <f t="shared" si="11"/>
        <v>-588</v>
      </c>
      <c r="V123" s="45">
        <f t="shared" si="12"/>
        <v>-1</v>
      </c>
    </row>
    <row r="124" spans="1:22" x14ac:dyDescent="0.2">
      <c r="A124" s="55">
        <v>705300</v>
      </c>
      <c r="B124" s="55" t="s">
        <v>98</v>
      </c>
      <c r="C124" s="1">
        <v>732110</v>
      </c>
      <c r="D124" s="1" t="s">
        <v>98</v>
      </c>
      <c r="E124" s="22">
        <v>17242.71</v>
      </c>
      <c r="F124" s="22">
        <v>33019.739999999991</v>
      </c>
      <c r="G124" s="22">
        <v>86283.909999999989</v>
      </c>
      <c r="H124" s="22">
        <v>57389.30999999999</v>
      </c>
      <c r="I124" s="22">
        <v>44318.340000000004</v>
      </c>
      <c r="J124" s="22">
        <v>89419.409999999974</v>
      </c>
      <c r="K124" s="22">
        <v>67470.66</v>
      </c>
      <c r="L124" s="22">
        <v>84652.49</v>
      </c>
      <c r="M124" s="22">
        <v>78209.58</v>
      </c>
      <c r="N124" s="42">
        <v>72943.260000000024</v>
      </c>
      <c r="O124" s="42">
        <v>67710.429999999993</v>
      </c>
      <c r="P124" s="42">
        <v>72622.94</v>
      </c>
      <c r="Q124" s="42">
        <v>84626.37</v>
      </c>
      <c r="R124" s="39">
        <v>71370.749999999985</v>
      </c>
      <c r="S124" s="41">
        <v>53937.89</v>
      </c>
      <c r="T124" s="41"/>
      <c r="U124" s="16">
        <f t="shared" si="11"/>
        <v>-53937.89</v>
      </c>
      <c r="V124" s="45">
        <f t="shared" si="12"/>
        <v>-1</v>
      </c>
    </row>
    <row r="125" spans="1:22" x14ac:dyDescent="0.2">
      <c r="A125" s="72">
        <v>705600</v>
      </c>
      <c r="B125" s="107" t="s">
        <v>496</v>
      </c>
      <c r="C125" s="1"/>
      <c r="D125" s="1"/>
      <c r="E125" s="22"/>
      <c r="F125" s="22"/>
      <c r="G125" s="22"/>
      <c r="H125" s="22"/>
      <c r="I125" s="22"/>
      <c r="J125" s="22"/>
      <c r="K125" s="22"/>
      <c r="L125" s="22"/>
      <c r="M125" s="22"/>
      <c r="N125" s="42"/>
      <c r="O125" s="42"/>
      <c r="P125" s="42"/>
      <c r="Q125" s="42"/>
      <c r="R125" s="39"/>
      <c r="S125" s="41"/>
      <c r="T125" s="41">
        <v>2185.48</v>
      </c>
      <c r="U125" s="16">
        <f t="shared" si="11"/>
        <v>2185.48</v>
      </c>
      <c r="V125" s="45" t="e">
        <f t="shared" si="12"/>
        <v>#DIV/0!</v>
      </c>
    </row>
    <row r="126" spans="1:22" x14ac:dyDescent="0.2">
      <c r="A126" s="55">
        <v>705500</v>
      </c>
      <c r="B126" s="55" t="s">
        <v>363</v>
      </c>
      <c r="C126" s="1">
        <v>732115</v>
      </c>
      <c r="D126" s="1" t="s">
        <v>99</v>
      </c>
      <c r="E126" s="22"/>
      <c r="F126" s="22"/>
      <c r="G126" s="22"/>
      <c r="H126" s="22"/>
      <c r="I126" s="22"/>
      <c r="J126" s="22"/>
      <c r="K126" s="22"/>
      <c r="L126" s="22">
        <v>57.72</v>
      </c>
      <c r="M126" s="22"/>
      <c r="N126" s="22"/>
      <c r="O126" s="22"/>
      <c r="P126" s="22">
        <v>83.36</v>
      </c>
      <c r="Q126" s="42">
        <v>83.36</v>
      </c>
      <c r="R126" s="42"/>
      <c r="S126" s="41">
        <v>136.88999999999999</v>
      </c>
      <c r="T126" s="41"/>
      <c r="U126" s="16">
        <f t="shared" si="11"/>
        <v>-136.88999999999999</v>
      </c>
      <c r="V126" s="45">
        <f t="shared" si="12"/>
        <v>-1</v>
      </c>
    </row>
    <row r="127" spans="1:22" x14ac:dyDescent="0.2">
      <c r="A127" s="55">
        <v>705003</v>
      </c>
      <c r="B127" s="55" t="s">
        <v>359</v>
      </c>
      <c r="C127" s="1">
        <v>732200</v>
      </c>
      <c r="D127" s="1" t="s">
        <v>100</v>
      </c>
      <c r="E127" s="22">
        <v>5746</v>
      </c>
      <c r="F127" s="22"/>
      <c r="G127" s="22"/>
      <c r="H127" s="22">
        <v>948</v>
      </c>
      <c r="I127" s="22"/>
      <c r="J127" s="22"/>
      <c r="K127" s="22"/>
      <c r="L127" s="22"/>
      <c r="M127" s="22"/>
      <c r="N127" s="42">
        <v>-45</v>
      </c>
      <c r="O127" s="22">
        <v>-25</v>
      </c>
      <c r="P127" s="22"/>
      <c r="Q127" s="22"/>
      <c r="R127" s="22"/>
      <c r="S127" s="22"/>
      <c r="T127" s="22"/>
      <c r="U127" s="16">
        <f t="shared" si="11"/>
        <v>0</v>
      </c>
      <c r="V127" s="45" t="e">
        <f t="shared" si="12"/>
        <v>#DIV/0!</v>
      </c>
    </row>
    <row r="128" spans="1:22" x14ac:dyDescent="0.2">
      <c r="A128" s="55">
        <v>705103</v>
      </c>
      <c r="B128" s="55" t="s">
        <v>440</v>
      </c>
      <c r="C128" s="1">
        <v>732205</v>
      </c>
      <c r="D128" s="1" t="s">
        <v>101</v>
      </c>
      <c r="U128" s="16">
        <f t="shared" si="11"/>
        <v>0</v>
      </c>
      <c r="V128" s="45" t="e">
        <f t="shared" si="12"/>
        <v>#DIV/0!</v>
      </c>
    </row>
    <row r="129" spans="1:22" x14ac:dyDescent="0.2">
      <c r="A129" s="55">
        <v>705801</v>
      </c>
      <c r="B129" s="55" t="s">
        <v>365</v>
      </c>
      <c r="C129" s="1">
        <v>732210</v>
      </c>
      <c r="D129" s="1" t="s">
        <v>102</v>
      </c>
      <c r="E129" s="22"/>
      <c r="F129" s="22"/>
      <c r="G129" s="22"/>
      <c r="H129" s="22"/>
      <c r="I129" s="22"/>
      <c r="J129" s="22"/>
      <c r="K129" s="22"/>
      <c r="L129" s="22"/>
      <c r="M129" s="22">
        <v>1600</v>
      </c>
      <c r="N129" s="22"/>
      <c r="O129" s="22"/>
      <c r="P129" s="22"/>
      <c r="Q129" s="22"/>
      <c r="R129" s="22"/>
      <c r="S129" s="22"/>
      <c r="T129" s="22"/>
      <c r="U129" s="16">
        <f t="shared" si="11"/>
        <v>0</v>
      </c>
      <c r="V129" s="45" t="e">
        <f t="shared" si="12"/>
        <v>#DIV/0!</v>
      </c>
    </row>
    <row r="130" spans="1:22" x14ac:dyDescent="0.2">
      <c r="A130" s="55">
        <v>705003</v>
      </c>
      <c r="B130" s="55" t="s">
        <v>359</v>
      </c>
      <c r="C130" s="1">
        <v>732215</v>
      </c>
      <c r="D130" s="1" t="s">
        <v>103</v>
      </c>
      <c r="E130" s="22"/>
      <c r="F130" s="22">
        <v>52.04</v>
      </c>
      <c r="G130" s="22"/>
      <c r="H130" s="22"/>
      <c r="I130" s="22"/>
      <c r="J130" s="22"/>
      <c r="K130" s="22"/>
      <c r="L130" s="22"/>
      <c r="M130" s="22"/>
      <c r="N130" s="22"/>
      <c r="O130" s="22"/>
      <c r="P130" s="22"/>
      <c r="Q130" s="22"/>
      <c r="R130" s="22"/>
      <c r="S130" s="22"/>
      <c r="T130" s="22"/>
      <c r="U130" s="16">
        <f t="shared" si="11"/>
        <v>0</v>
      </c>
      <c r="V130" s="45" t="e">
        <f t="shared" si="12"/>
        <v>#DIV/0!</v>
      </c>
    </row>
    <row r="131" spans="1:22" x14ac:dyDescent="0.2">
      <c r="A131" s="55">
        <v>705300</v>
      </c>
      <c r="B131" s="55" t="s">
        <v>98</v>
      </c>
      <c r="C131" s="1">
        <v>732225</v>
      </c>
      <c r="D131" s="1" t="s">
        <v>104</v>
      </c>
      <c r="E131" s="22"/>
      <c r="F131" s="22"/>
      <c r="G131" s="22">
        <v>3600</v>
      </c>
      <c r="H131" s="22"/>
      <c r="I131" s="22"/>
      <c r="J131" s="22"/>
      <c r="K131" s="22"/>
      <c r="L131" s="22"/>
      <c r="M131" s="22"/>
      <c r="N131" s="22"/>
      <c r="O131" s="22"/>
      <c r="P131" s="22">
        <v>766.73</v>
      </c>
      <c r="Q131" s="42">
        <v>1073.43</v>
      </c>
      <c r="R131" s="42"/>
      <c r="S131" s="42"/>
      <c r="T131" s="42"/>
      <c r="U131" s="16">
        <f t="shared" si="11"/>
        <v>0</v>
      </c>
      <c r="V131" s="45" t="e">
        <f t="shared" si="12"/>
        <v>#DIV/0!</v>
      </c>
    </row>
    <row r="132" spans="1:22" x14ac:dyDescent="0.2">
      <c r="A132" s="55">
        <v>705800</v>
      </c>
      <c r="B132" s="55" t="s">
        <v>364</v>
      </c>
      <c r="C132" s="1">
        <v>732300</v>
      </c>
      <c r="D132" s="1" t="s">
        <v>105</v>
      </c>
      <c r="E132" s="22"/>
      <c r="F132" s="22">
        <v>842</v>
      </c>
      <c r="G132" s="22"/>
      <c r="H132" s="22"/>
      <c r="I132" s="22"/>
      <c r="J132" s="22"/>
      <c r="K132" s="22"/>
      <c r="L132" s="22"/>
      <c r="M132" s="22">
        <v>1803.89</v>
      </c>
      <c r="N132" s="42">
        <v>679.28</v>
      </c>
      <c r="O132" s="22"/>
      <c r="P132" s="22"/>
      <c r="Q132" s="22"/>
      <c r="R132" s="39">
        <v>1031.1400000000001</v>
      </c>
      <c r="S132" s="39"/>
      <c r="T132" s="39"/>
      <c r="U132" s="16">
        <f t="shared" si="11"/>
        <v>0</v>
      </c>
      <c r="V132" s="45" t="e">
        <f t="shared" si="12"/>
        <v>#DIV/0!</v>
      </c>
    </row>
    <row r="133" spans="1:22" x14ac:dyDescent="0.2">
      <c r="A133" s="55">
        <v>706007</v>
      </c>
      <c r="B133" s="55" t="s">
        <v>371</v>
      </c>
      <c r="C133" s="1">
        <v>741100</v>
      </c>
      <c r="D133" s="1" t="s">
        <v>106</v>
      </c>
      <c r="U133" s="16">
        <f t="shared" si="11"/>
        <v>0</v>
      </c>
      <c r="V133" s="45" t="e">
        <f t="shared" si="12"/>
        <v>#DIV/0!</v>
      </c>
    </row>
    <row r="134" spans="1:22" x14ac:dyDescent="0.2">
      <c r="A134" s="55">
        <v>706000</v>
      </c>
      <c r="B134" s="55" t="s">
        <v>366</v>
      </c>
      <c r="C134" s="1">
        <v>741110</v>
      </c>
      <c r="D134" s="1" t="s">
        <v>107</v>
      </c>
      <c r="E134" s="22"/>
      <c r="F134" s="22"/>
      <c r="G134" s="22">
        <v>989.19</v>
      </c>
      <c r="H134" s="22">
        <v>269.5</v>
      </c>
      <c r="I134" s="22"/>
      <c r="J134" s="22"/>
      <c r="K134" s="22"/>
      <c r="L134" s="22"/>
      <c r="M134" s="22"/>
      <c r="N134" s="22"/>
      <c r="O134" s="22"/>
      <c r="P134" s="22"/>
      <c r="Q134" s="22"/>
      <c r="R134" s="22"/>
      <c r="S134" s="22"/>
      <c r="T134" s="22"/>
      <c r="U134" s="16">
        <f t="shared" si="11"/>
        <v>0</v>
      </c>
      <c r="V134" s="45" t="e">
        <f t="shared" si="12"/>
        <v>#DIV/0!</v>
      </c>
    </row>
    <row r="135" spans="1:22" x14ac:dyDescent="0.2">
      <c r="A135" s="55">
        <v>706100</v>
      </c>
      <c r="B135" s="55" t="s">
        <v>372</v>
      </c>
      <c r="C135" s="1">
        <v>742120</v>
      </c>
      <c r="D135" s="1" t="s">
        <v>108</v>
      </c>
      <c r="U135" s="16">
        <f t="shared" si="11"/>
        <v>0</v>
      </c>
      <c r="V135" s="45" t="e">
        <f t="shared" si="12"/>
        <v>#DIV/0!</v>
      </c>
    </row>
    <row r="136" spans="1:22" x14ac:dyDescent="0.2">
      <c r="A136" s="55">
        <v>706200</v>
      </c>
      <c r="B136" s="55" t="s">
        <v>374</v>
      </c>
      <c r="C136" s="1">
        <v>743100</v>
      </c>
      <c r="D136" s="1" t="s">
        <v>109</v>
      </c>
      <c r="E136" s="22">
        <v>252.25</v>
      </c>
      <c r="F136" s="22">
        <v>650</v>
      </c>
      <c r="G136" s="22"/>
      <c r="H136" s="22">
        <v>263.62</v>
      </c>
      <c r="I136" s="22"/>
      <c r="J136" s="22"/>
      <c r="K136" s="22"/>
      <c r="L136" s="22"/>
      <c r="M136" s="22">
        <v>496</v>
      </c>
      <c r="N136" s="42">
        <v>332.5</v>
      </c>
      <c r="O136" s="22">
        <v>266</v>
      </c>
      <c r="P136" s="22"/>
      <c r="Q136" s="22"/>
      <c r="R136" s="22"/>
      <c r="S136" s="22"/>
      <c r="T136" s="22">
        <v>120</v>
      </c>
      <c r="U136" s="16">
        <f t="shared" si="11"/>
        <v>120</v>
      </c>
      <c r="V136" s="45" t="e">
        <f t="shared" si="12"/>
        <v>#DIV/0!</v>
      </c>
    </row>
    <row r="137" spans="1:22" x14ac:dyDescent="0.2">
      <c r="A137" s="55">
        <v>706200</v>
      </c>
      <c r="B137" s="55" t="s">
        <v>374</v>
      </c>
      <c r="C137" s="1">
        <v>743200</v>
      </c>
      <c r="D137" s="1" t="s">
        <v>110</v>
      </c>
      <c r="N137" s="43"/>
      <c r="U137" s="16">
        <f t="shared" si="11"/>
        <v>0</v>
      </c>
      <c r="V137" s="45" t="e">
        <f t="shared" si="12"/>
        <v>#DIV/0!</v>
      </c>
    </row>
    <row r="138" spans="1:22" x14ac:dyDescent="0.2">
      <c r="A138" s="55">
        <v>706202</v>
      </c>
      <c r="B138" s="55" t="s">
        <v>375</v>
      </c>
      <c r="C138" s="1">
        <v>743300</v>
      </c>
      <c r="D138" s="1" t="s">
        <v>111</v>
      </c>
      <c r="U138" s="16">
        <f t="shared" si="11"/>
        <v>0</v>
      </c>
      <c r="V138" s="45" t="e">
        <f t="shared" si="12"/>
        <v>#DIV/0!</v>
      </c>
    </row>
    <row r="139" spans="1:22" x14ac:dyDescent="0.2">
      <c r="A139" s="55">
        <v>706203</v>
      </c>
      <c r="B139" s="55" t="s">
        <v>376</v>
      </c>
      <c r="C139" s="1">
        <v>743400</v>
      </c>
      <c r="D139" s="1" t="s">
        <v>112</v>
      </c>
      <c r="E139" s="22"/>
      <c r="F139" s="22">
        <v>426.32</v>
      </c>
      <c r="G139" s="22"/>
      <c r="H139" s="22"/>
      <c r="I139" s="22"/>
      <c r="J139" s="22"/>
      <c r="K139" s="22"/>
      <c r="L139" s="22"/>
      <c r="M139" s="22"/>
      <c r="N139" s="43"/>
      <c r="O139" s="22"/>
      <c r="P139" s="22"/>
      <c r="Q139" s="42">
        <v>1000</v>
      </c>
      <c r="R139" s="42"/>
      <c r="S139" s="42"/>
      <c r="T139" s="42"/>
      <c r="U139" s="16">
        <f t="shared" si="11"/>
        <v>0</v>
      </c>
      <c r="V139" s="45" t="e">
        <f t="shared" si="12"/>
        <v>#DIV/0!</v>
      </c>
    </row>
    <row r="140" spans="1:22" x14ac:dyDescent="0.2">
      <c r="A140" s="55">
        <v>706204</v>
      </c>
      <c r="B140" s="55" t="s">
        <v>377</v>
      </c>
      <c r="C140" s="1">
        <v>743500</v>
      </c>
      <c r="D140" s="1" t="s">
        <v>113</v>
      </c>
      <c r="E140" s="22">
        <v>1812.33</v>
      </c>
      <c r="F140" s="22">
        <v>3848.2</v>
      </c>
      <c r="G140" s="22"/>
      <c r="H140" s="22"/>
      <c r="I140" s="22">
        <v>145.28</v>
      </c>
      <c r="J140" s="22"/>
      <c r="K140" s="22"/>
      <c r="L140" s="22">
        <v>318</v>
      </c>
      <c r="M140" s="22"/>
      <c r="N140" s="42">
        <v>382.05</v>
      </c>
      <c r="O140" s="22"/>
      <c r="P140" s="22"/>
      <c r="Q140" s="22"/>
      <c r="R140" s="22"/>
      <c r="S140" s="22"/>
      <c r="T140" s="22">
        <v>264.7</v>
      </c>
      <c r="U140" s="16">
        <f t="shared" si="11"/>
        <v>264.7</v>
      </c>
      <c r="V140" s="45" t="e">
        <f t="shared" si="12"/>
        <v>#DIV/0!</v>
      </c>
    </row>
    <row r="141" spans="1:22" x14ac:dyDescent="0.2">
      <c r="A141" s="55">
        <v>706300</v>
      </c>
      <c r="B141" s="55" t="s">
        <v>378</v>
      </c>
      <c r="C141" s="1">
        <v>744100</v>
      </c>
      <c r="D141" s="1" t="s">
        <v>114</v>
      </c>
      <c r="E141" s="22">
        <v>61.24</v>
      </c>
      <c r="F141" s="22"/>
      <c r="G141" s="22"/>
      <c r="H141" s="22"/>
      <c r="I141" s="22"/>
      <c r="J141" s="22"/>
      <c r="K141" s="22">
        <v>118.69</v>
      </c>
      <c r="L141" s="22"/>
      <c r="M141" s="22">
        <v>613.79</v>
      </c>
      <c r="N141" s="51"/>
      <c r="O141" s="22"/>
      <c r="P141" s="22"/>
      <c r="Q141" s="42">
        <v>55.94</v>
      </c>
      <c r="R141" s="42"/>
      <c r="S141" s="42"/>
      <c r="T141" s="42"/>
      <c r="U141" s="16">
        <f t="shared" si="11"/>
        <v>0</v>
      </c>
      <c r="V141" s="45" t="e">
        <f t="shared" si="12"/>
        <v>#DIV/0!</v>
      </c>
    </row>
    <row r="142" spans="1:22" x14ac:dyDescent="0.2">
      <c r="A142" s="55">
        <v>706300</v>
      </c>
      <c r="B142" s="55" t="s">
        <v>378</v>
      </c>
      <c r="C142" s="1">
        <v>744110</v>
      </c>
      <c r="D142" s="1" t="s">
        <v>115</v>
      </c>
      <c r="E142" s="22">
        <v>2629.4500000000003</v>
      </c>
      <c r="F142" s="22">
        <v>6339.7300000000005</v>
      </c>
      <c r="G142" s="22">
        <v>1288.0900000000001</v>
      </c>
      <c r="H142" s="22">
        <v>1965.1200000000001</v>
      </c>
      <c r="I142" s="22">
        <v>4157.3999999999996</v>
      </c>
      <c r="J142" s="22">
        <v>6317.579999999999</v>
      </c>
      <c r="K142" s="22">
        <v>3726.15</v>
      </c>
      <c r="L142" s="22">
        <v>1720.18</v>
      </c>
      <c r="M142" s="22">
        <v>1689.4600000000003</v>
      </c>
      <c r="N142" s="43"/>
      <c r="O142" s="22">
        <v>3845.52</v>
      </c>
      <c r="P142" s="22">
        <v>5376.93</v>
      </c>
      <c r="Q142" s="42">
        <v>5000.91</v>
      </c>
      <c r="R142" s="39">
        <v>1213.8600000000001</v>
      </c>
      <c r="S142" s="41">
        <v>255</v>
      </c>
      <c r="T142" s="41"/>
      <c r="U142" s="16">
        <f t="shared" si="11"/>
        <v>-255</v>
      </c>
      <c r="V142" s="45">
        <f t="shared" si="12"/>
        <v>-1</v>
      </c>
    </row>
    <row r="143" spans="1:22" x14ac:dyDescent="0.2">
      <c r="A143" s="55">
        <v>706301</v>
      </c>
      <c r="B143" s="55" t="s">
        <v>379</v>
      </c>
      <c r="C143" s="1">
        <v>744115</v>
      </c>
      <c r="D143" s="1" t="s">
        <v>116</v>
      </c>
      <c r="N143" s="51"/>
      <c r="U143" s="16">
        <f t="shared" si="11"/>
        <v>0</v>
      </c>
      <c r="V143" s="45" t="e">
        <f t="shared" si="12"/>
        <v>#DIV/0!</v>
      </c>
    </row>
    <row r="144" spans="1:22" x14ac:dyDescent="0.2">
      <c r="A144" s="55">
        <v>706302</v>
      </c>
      <c r="B144" s="55" t="s">
        <v>380</v>
      </c>
      <c r="C144" s="1">
        <v>744125</v>
      </c>
      <c r="D144" s="1" t="s">
        <v>117</v>
      </c>
      <c r="N144" s="43"/>
      <c r="Q144" s="42">
        <v>130.03</v>
      </c>
      <c r="R144" s="42"/>
      <c r="S144" s="42"/>
      <c r="T144" s="42"/>
      <c r="U144" s="16">
        <f t="shared" si="11"/>
        <v>0</v>
      </c>
      <c r="V144" s="45" t="e">
        <f t="shared" si="12"/>
        <v>#DIV/0!</v>
      </c>
    </row>
    <row r="145" spans="1:22" x14ac:dyDescent="0.2">
      <c r="A145" s="55">
        <v>706400</v>
      </c>
      <c r="B145" s="55" t="s">
        <v>381</v>
      </c>
      <c r="C145" s="1">
        <v>744130</v>
      </c>
      <c r="D145" s="1" t="s">
        <v>118</v>
      </c>
      <c r="N145" s="51"/>
      <c r="U145" s="16">
        <f t="shared" si="11"/>
        <v>0</v>
      </c>
      <c r="V145" s="45" t="e">
        <f t="shared" si="12"/>
        <v>#DIV/0!</v>
      </c>
    </row>
    <row r="146" spans="1:22" x14ac:dyDescent="0.2">
      <c r="A146" s="55">
        <v>706400</v>
      </c>
      <c r="B146" s="55" t="s">
        <v>381</v>
      </c>
      <c r="C146" s="1">
        <v>744135</v>
      </c>
      <c r="D146" s="1" t="s">
        <v>119</v>
      </c>
      <c r="N146" s="42">
        <v>655</v>
      </c>
      <c r="U146" s="16">
        <f t="shared" si="11"/>
        <v>0</v>
      </c>
      <c r="V146" s="45" t="e">
        <f t="shared" si="12"/>
        <v>#DIV/0!</v>
      </c>
    </row>
    <row r="147" spans="1:22" x14ac:dyDescent="0.2">
      <c r="A147" s="55">
        <v>706504</v>
      </c>
      <c r="B147" s="55" t="s">
        <v>385</v>
      </c>
      <c r="C147" s="1">
        <v>744140</v>
      </c>
      <c r="D147" s="1" t="s">
        <v>120</v>
      </c>
      <c r="N147" s="43"/>
      <c r="U147" s="16">
        <f t="shared" si="11"/>
        <v>0</v>
      </c>
      <c r="V147" s="45" t="e">
        <f t="shared" si="12"/>
        <v>#DIV/0!</v>
      </c>
    </row>
    <row r="148" spans="1:22" x14ac:dyDescent="0.2">
      <c r="A148" s="55">
        <v>706700</v>
      </c>
      <c r="B148" s="55" t="s">
        <v>390</v>
      </c>
      <c r="C148" s="1">
        <v>745100</v>
      </c>
      <c r="D148" s="1" t="s">
        <v>121</v>
      </c>
      <c r="E148" s="22"/>
      <c r="F148" s="22"/>
      <c r="G148" s="22">
        <v>2500</v>
      </c>
      <c r="H148" s="22"/>
      <c r="I148" s="22"/>
      <c r="J148" s="22"/>
      <c r="K148" s="22"/>
      <c r="L148" s="22"/>
      <c r="M148" s="22"/>
      <c r="O148" s="22"/>
      <c r="P148" s="22"/>
      <c r="Q148" s="22"/>
      <c r="R148" s="22"/>
      <c r="S148" s="22"/>
      <c r="T148" s="22"/>
      <c r="U148" s="16">
        <f t="shared" si="11"/>
        <v>0</v>
      </c>
      <c r="V148" s="45" t="e">
        <f t="shared" si="12"/>
        <v>#DIV/0!</v>
      </c>
    </row>
    <row r="149" spans="1:22" x14ac:dyDescent="0.2">
      <c r="A149" s="55">
        <v>706605</v>
      </c>
      <c r="B149" s="55" t="s">
        <v>389</v>
      </c>
      <c r="C149" s="1">
        <v>745105</v>
      </c>
      <c r="D149" s="1" t="s">
        <v>122</v>
      </c>
      <c r="E149" s="22">
        <v>23700.7</v>
      </c>
      <c r="F149" s="22">
        <v>12368.01</v>
      </c>
      <c r="G149" s="22">
        <v>34059.919999999998</v>
      </c>
      <c r="H149" s="22">
        <v>22800.73</v>
      </c>
      <c r="I149" s="22">
        <v>17721.520000000004</v>
      </c>
      <c r="J149" s="22">
        <v>17759.77</v>
      </c>
      <c r="K149" s="22">
        <v>8602.57</v>
      </c>
      <c r="L149" s="22">
        <v>1456.62</v>
      </c>
      <c r="M149" s="22">
        <v>2403</v>
      </c>
      <c r="N149" s="42">
        <v>1809.2</v>
      </c>
      <c r="O149" s="22">
        <v>1347.28</v>
      </c>
      <c r="P149" s="22">
        <v>1581.3200000000002</v>
      </c>
      <c r="Q149" s="42">
        <v>3705.79</v>
      </c>
      <c r="R149" s="39">
        <v>581</v>
      </c>
      <c r="S149" s="41">
        <v>2318.9299999999998</v>
      </c>
      <c r="T149" s="41">
        <v>20</v>
      </c>
      <c r="U149" s="16">
        <f t="shared" si="11"/>
        <v>-2298.9299999999998</v>
      </c>
      <c r="V149" s="45">
        <f t="shared" si="12"/>
        <v>-0.991375332588737</v>
      </c>
    </row>
    <row r="150" spans="1:22" x14ac:dyDescent="0.2">
      <c r="A150" s="55">
        <v>706605</v>
      </c>
      <c r="B150" s="55" t="s">
        <v>389</v>
      </c>
      <c r="C150" s="1">
        <v>745110</v>
      </c>
      <c r="D150" s="1" t="s">
        <v>123</v>
      </c>
      <c r="E150" s="22">
        <v>336.5</v>
      </c>
      <c r="F150" s="22"/>
      <c r="G150" s="22"/>
      <c r="H150" s="22"/>
      <c r="I150" s="22"/>
      <c r="J150" s="22"/>
      <c r="K150" s="22"/>
      <c r="L150" s="22"/>
      <c r="M150" s="22"/>
      <c r="N150" s="43"/>
      <c r="O150" s="22"/>
      <c r="P150" s="22"/>
      <c r="Q150" s="22"/>
      <c r="R150" s="22"/>
      <c r="S150" s="22"/>
      <c r="T150" s="22"/>
      <c r="U150" s="16">
        <f t="shared" si="11"/>
        <v>0</v>
      </c>
      <c r="V150" s="45" t="e">
        <f t="shared" si="12"/>
        <v>#DIV/0!</v>
      </c>
    </row>
    <row r="151" spans="1:22" x14ac:dyDescent="0.2">
      <c r="A151" s="55">
        <v>706601</v>
      </c>
      <c r="B151" s="55" t="s">
        <v>387</v>
      </c>
      <c r="C151" s="1">
        <v>745115</v>
      </c>
      <c r="D151" s="1" t="s">
        <v>124</v>
      </c>
      <c r="U151" s="16">
        <f t="shared" si="11"/>
        <v>0</v>
      </c>
      <c r="V151" s="45" t="e">
        <f t="shared" si="12"/>
        <v>#DIV/0!</v>
      </c>
    </row>
    <row r="152" spans="1:22" x14ac:dyDescent="0.2">
      <c r="A152" s="55">
        <v>707001</v>
      </c>
      <c r="B152" s="55" t="s">
        <v>392</v>
      </c>
      <c r="C152" s="1">
        <v>751100</v>
      </c>
      <c r="D152" s="1" t="s">
        <v>125</v>
      </c>
      <c r="E152" s="22"/>
      <c r="F152" s="22">
        <v>258</v>
      </c>
      <c r="G152" s="22"/>
      <c r="H152" s="22">
        <v>869</v>
      </c>
      <c r="I152" s="22"/>
      <c r="J152" s="22"/>
      <c r="K152" s="22">
        <v>579</v>
      </c>
      <c r="L152" s="22">
        <v>179</v>
      </c>
      <c r="M152" s="22"/>
      <c r="N152" s="42">
        <v>427.52</v>
      </c>
      <c r="O152" s="42">
        <v>5739.22</v>
      </c>
      <c r="P152" s="42">
        <v>49.99</v>
      </c>
      <c r="Q152" s="42">
        <v>362.57</v>
      </c>
      <c r="R152" s="39">
        <v>2559.94</v>
      </c>
      <c r="S152" s="41">
        <v>2233</v>
      </c>
      <c r="T152" s="41">
        <v>8504.23</v>
      </c>
      <c r="U152" s="16">
        <f t="shared" ref="U152:U215" si="13">T152-S152</f>
        <v>6271.23</v>
      </c>
      <c r="V152" s="45">
        <f t="shared" ref="V152:V215" si="14">U152/S152</f>
        <v>2.8084326018808774</v>
      </c>
    </row>
    <row r="153" spans="1:22" x14ac:dyDescent="0.2">
      <c r="A153" s="55">
        <v>707002</v>
      </c>
      <c r="B153" s="55" t="s">
        <v>393</v>
      </c>
      <c r="C153" s="1">
        <v>751105</v>
      </c>
      <c r="D153" s="1" t="s">
        <v>194</v>
      </c>
      <c r="E153" s="22"/>
      <c r="F153" s="22"/>
      <c r="G153" s="22"/>
      <c r="H153" s="22"/>
      <c r="I153" s="22"/>
      <c r="J153" s="22"/>
      <c r="K153" s="22"/>
      <c r="L153" s="22"/>
      <c r="M153" s="22"/>
      <c r="N153" s="42"/>
      <c r="O153" s="42">
        <v>100</v>
      </c>
      <c r="P153" s="42"/>
      <c r="Q153" s="42"/>
      <c r="R153" s="42"/>
      <c r="S153" s="42"/>
      <c r="T153" s="42"/>
      <c r="U153" s="16">
        <f t="shared" si="13"/>
        <v>0</v>
      </c>
      <c r="V153" s="45" t="e">
        <f t="shared" si="14"/>
        <v>#DIV/0!</v>
      </c>
    </row>
    <row r="154" spans="1:22" x14ac:dyDescent="0.2">
      <c r="A154" s="55">
        <v>707000</v>
      </c>
      <c r="B154" s="55" t="s">
        <v>391</v>
      </c>
      <c r="C154" s="1">
        <v>751110</v>
      </c>
      <c r="D154" s="1" t="s">
        <v>126</v>
      </c>
      <c r="E154" s="22">
        <v>2293.48</v>
      </c>
      <c r="F154" s="22">
        <v>2053.62</v>
      </c>
      <c r="G154" s="22">
        <v>374.89</v>
      </c>
      <c r="H154" s="22">
        <v>2085.15</v>
      </c>
      <c r="I154" s="22">
        <v>7846.35</v>
      </c>
      <c r="J154" s="22">
        <v>2618.36</v>
      </c>
      <c r="K154" s="22">
        <v>676.40000000000009</v>
      </c>
      <c r="L154" s="22">
        <v>999</v>
      </c>
      <c r="M154" s="22">
        <v>1587</v>
      </c>
      <c r="N154" s="42">
        <v>2722</v>
      </c>
      <c r="O154" s="42">
        <v>527</v>
      </c>
      <c r="P154" s="42"/>
      <c r="Q154" s="42"/>
      <c r="R154" s="39">
        <v>2299</v>
      </c>
      <c r="S154" s="39"/>
      <c r="T154" s="39"/>
      <c r="U154" s="16">
        <f t="shared" si="13"/>
        <v>0</v>
      </c>
      <c r="V154" s="45" t="e">
        <f t="shared" si="14"/>
        <v>#DIV/0!</v>
      </c>
    </row>
    <row r="155" spans="1:22" x14ac:dyDescent="0.2">
      <c r="A155" s="55">
        <v>707101</v>
      </c>
      <c r="B155" s="55" t="s">
        <v>395</v>
      </c>
      <c r="C155" s="1">
        <v>752100</v>
      </c>
      <c r="D155" s="1" t="s">
        <v>127</v>
      </c>
      <c r="E155" s="22">
        <v>13326.800000000001</v>
      </c>
      <c r="F155" s="22">
        <v>10883</v>
      </c>
      <c r="G155" s="22">
        <v>20482</v>
      </c>
      <c r="H155" s="22">
        <v>2132</v>
      </c>
      <c r="I155" s="22">
        <v>5474</v>
      </c>
      <c r="J155" s="22">
        <v>1599</v>
      </c>
      <c r="K155" s="22">
        <v>1187.3899999999999</v>
      </c>
      <c r="L155" s="22"/>
      <c r="M155" s="22"/>
      <c r="N155" s="22"/>
      <c r="O155" s="42">
        <v>1110</v>
      </c>
      <c r="P155" s="42">
        <v>1017.9</v>
      </c>
      <c r="Q155" s="42">
        <v>24.76</v>
      </c>
      <c r="R155" s="42"/>
      <c r="S155" s="42"/>
      <c r="T155" s="42"/>
      <c r="U155" s="16">
        <f t="shared" si="13"/>
        <v>0</v>
      </c>
      <c r="V155" s="45" t="e">
        <f t="shared" si="14"/>
        <v>#DIV/0!</v>
      </c>
    </row>
    <row r="156" spans="1:22" x14ac:dyDescent="0.2">
      <c r="A156" s="55">
        <v>707100</v>
      </c>
      <c r="B156" s="55" t="s">
        <v>394</v>
      </c>
      <c r="C156" s="1">
        <v>752105</v>
      </c>
      <c r="D156" s="1" t="s">
        <v>128</v>
      </c>
      <c r="E156" s="22">
        <v>2085</v>
      </c>
      <c r="F156" s="22">
        <v>6135.68</v>
      </c>
      <c r="G156" s="22"/>
      <c r="H156" s="22"/>
      <c r="I156" s="22"/>
      <c r="J156" s="22"/>
      <c r="K156" s="22">
        <v>250.20000000000002</v>
      </c>
      <c r="L156" s="22"/>
      <c r="M156" s="22"/>
      <c r="N156" s="22"/>
      <c r="O156" s="22"/>
      <c r="P156" s="22"/>
      <c r="Q156" s="22"/>
      <c r="R156" s="39">
        <v>439.82</v>
      </c>
      <c r="S156" s="41">
        <v>-34.92</v>
      </c>
      <c r="T156" s="41"/>
      <c r="U156" s="16">
        <f t="shared" si="13"/>
        <v>34.92</v>
      </c>
      <c r="V156" s="45">
        <f t="shared" si="14"/>
        <v>-1</v>
      </c>
    </row>
    <row r="157" spans="1:22" x14ac:dyDescent="0.2">
      <c r="A157" s="55">
        <v>707100</v>
      </c>
      <c r="B157" s="55" t="s">
        <v>394</v>
      </c>
      <c r="C157" s="1">
        <v>752110</v>
      </c>
      <c r="D157" s="1" t="s">
        <v>129</v>
      </c>
      <c r="U157" s="16">
        <f t="shared" si="13"/>
        <v>0</v>
      </c>
      <c r="V157" s="45" t="e">
        <f t="shared" si="14"/>
        <v>#DIV/0!</v>
      </c>
    </row>
    <row r="158" spans="1:22" x14ac:dyDescent="0.2">
      <c r="A158" s="55">
        <v>707101</v>
      </c>
      <c r="B158" s="55" t="s">
        <v>395</v>
      </c>
      <c r="C158" s="1">
        <v>752115</v>
      </c>
      <c r="D158" s="1" t="s">
        <v>130</v>
      </c>
      <c r="E158" s="22">
        <v>12041.46</v>
      </c>
      <c r="F158" s="22">
        <v>17558.300000000003</v>
      </c>
      <c r="G158" s="22">
        <v>9082.2099999999991</v>
      </c>
      <c r="H158" s="22">
        <v>1261.2200000000003</v>
      </c>
      <c r="I158" s="22">
        <v>1124.8699999999999</v>
      </c>
      <c r="J158" s="22">
        <v>5751.81</v>
      </c>
      <c r="K158" s="22">
        <v>63.210000000000008</v>
      </c>
      <c r="L158" s="22">
        <v>1455</v>
      </c>
      <c r="M158" s="22">
        <v>655.24</v>
      </c>
      <c r="N158" s="42">
        <v>1222.95</v>
      </c>
      <c r="O158" s="42">
        <v>5191.45</v>
      </c>
      <c r="P158" s="42">
        <v>669</v>
      </c>
      <c r="Q158" s="42">
        <v>3352</v>
      </c>
      <c r="R158" s="39">
        <v>3002.1000000000004</v>
      </c>
      <c r="S158" s="41">
        <v>7822.22</v>
      </c>
      <c r="T158" s="41">
        <v>7308.48</v>
      </c>
      <c r="U158" s="16">
        <f t="shared" si="13"/>
        <v>-513.74000000000069</v>
      </c>
      <c r="V158" s="45">
        <f t="shared" si="14"/>
        <v>-6.5677007294604434E-2</v>
      </c>
    </row>
    <row r="159" spans="1:22" x14ac:dyDescent="0.2">
      <c r="A159" s="55">
        <v>707153</v>
      </c>
      <c r="B159" s="55" t="s">
        <v>399</v>
      </c>
      <c r="C159" s="1">
        <v>753100</v>
      </c>
      <c r="D159" s="1" t="s">
        <v>131</v>
      </c>
      <c r="E159" s="22">
        <v>1777.02</v>
      </c>
      <c r="F159" s="22">
        <v>3069.83</v>
      </c>
      <c r="G159" s="22">
        <v>1400</v>
      </c>
      <c r="H159" s="22"/>
      <c r="I159" s="22">
        <v>676.79</v>
      </c>
      <c r="J159" s="22">
        <v>231.2</v>
      </c>
      <c r="K159" s="22">
        <v>1856.5</v>
      </c>
      <c r="L159" s="22"/>
      <c r="M159" s="22">
        <v>500</v>
      </c>
      <c r="N159" s="42">
        <v>1000</v>
      </c>
      <c r="O159" s="22"/>
      <c r="P159" s="22"/>
      <c r="Q159" s="42">
        <v>822.87</v>
      </c>
      <c r="R159" s="39">
        <v>247.57</v>
      </c>
      <c r="S159" s="39"/>
      <c r="T159" s="39"/>
      <c r="U159" s="16">
        <f t="shared" si="13"/>
        <v>0</v>
      </c>
      <c r="V159" s="45" t="e">
        <f t="shared" si="14"/>
        <v>#DIV/0!</v>
      </c>
    </row>
    <row r="160" spans="1:22" x14ac:dyDescent="0.2">
      <c r="A160" s="55">
        <v>707001</v>
      </c>
      <c r="B160" s="55" t="s">
        <v>392</v>
      </c>
      <c r="C160" s="1">
        <v>761100</v>
      </c>
      <c r="D160" s="1" t="s">
        <v>132</v>
      </c>
      <c r="N160" s="47"/>
      <c r="U160" s="16">
        <f t="shared" si="13"/>
        <v>0</v>
      </c>
      <c r="V160" s="45" t="e">
        <f t="shared" si="14"/>
        <v>#DIV/0!</v>
      </c>
    </row>
    <row r="161" spans="1:22" x14ac:dyDescent="0.2">
      <c r="A161" s="55">
        <v>707001</v>
      </c>
      <c r="B161" s="55" t="s">
        <v>392</v>
      </c>
      <c r="C161" s="1">
        <v>761104</v>
      </c>
      <c r="D161" s="1" t="s">
        <v>133</v>
      </c>
      <c r="O161" s="42">
        <v>418.62</v>
      </c>
      <c r="P161" s="42">
        <v>837.24</v>
      </c>
      <c r="Q161" s="42">
        <v>837.24</v>
      </c>
      <c r="R161" s="42"/>
      <c r="S161" s="42"/>
      <c r="T161" s="42"/>
      <c r="U161" s="16">
        <f t="shared" si="13"/>
        <v>0</v>
      </c>
      <c r="V161" s="45" t="e">
        <f t="shared" si="14"/>
        <v>#DIV/0!</v>
      </c>
    </row>
    <row r="162" spans="1:22" x14ac:dyDescent="0.2">
      <c r="A162" s="55">
        <v>707150</v>
      </c>
      <c r="B162" s="55" t="s">
        <v>396</v>
      </c>
      <c r="C162" s="1">
        <v>763105</v>
      </c>
      <c r="D162" s="1" t="s">
        <v>134</v>
      </c>
      <c r="U162" s="16">
        <f t="shared" si="13"/>
        <v>0</v>
      </c>
      <c r="V162" s="45" t="e">
        <f t="shared" si="14"/>
        <v>#DIV/0!</v>
      </c>
    </row>
    <row r="163" spans="1:22" x14ac:dyDescent="0.2">
      <c r="A163" s="55">
        <v>707153</v>
      </c>
      <c r="B163" s="55" t="s">
        <v>399</v>
      </c>
      <c r="C163" s="1">
        <v>764100</v>
      </c>
      <c r="D163" s="1" t="s">
        <v>135</v>
      </c>
      <c r="E163" s="22"/>
      <c r="F163" s="22"/>
      <c r="G163" s="22"/>
      <c r="H163" s="22">
        <v>119.68</v>
      </c>
      <c r="I163" s="22"/>
      <c r="J163" s="22"/>
      <c r="K163" s="22"/>
      <c r="L163" s="22"/>
      <c r="M163" s="22">
        <v>4.1900000000000004</v>
      </c>
      <c r="N163" s="22"/>
      <c r="T163" s="3">
        <v>34.99</v>
      </c>
      <c r="U163" s="16">
        <f t="shared" si="13"/>
        <v>34.99</v>
      </c>
      <c r="V163" s="45" t="e">
        <f t="shared" si="14"/>
        <v>#DIV/0!</v>
      </c>
    </row>
    <row r="164" spans="1:22" x14ac:dyDescent="0.2">
      <c r="A164" s="55">
        <v>707152</v>
      </c>
      <c r="B164" s="55" t="s">
        <v>398</v>
      </c>
      <c r="C164" s="1">
        <v>764104</v>
      </c>
      <c r="D164" s="1" t="s">
        <v>136</v>
      </c>
      <c r="U164" s="16">
        <f t="shared" si="13"/>
        <v>0</v>
      </c>
      <c r="V164" s="45" t="e">
        <f t="shared" si="14"/>
        <v>#DIV/0!</v>
      </c>
    </row>
    <row r="165" spans="1:22" x14ac:dyDescent="0.2">
      <c r="A165" s="55">
        <v>707151</v>
      </c>
      <c r="B165" s="55" t="s">
        <v>397</v>
      </c>
      <c r="C165" s="1">
        <v>764110</v>
      </c>
      <c r="D165" s="1" t="s">
        <v>137</v>
      </c>
      <c r="E165" s="22">
        <v>420.36</v>
      </c>
      <c r="F165" s="22">
        <v>459.97</v>
      </c>
      <c r="G165" s="22">
        <v>572.52</v>
      </c>
      <c r="H165" s="22">
        <v>477.02</v>
      </c>
      <c r="I165" s="22">
        <v>523.91</v>
      </c>
      <c r="J165" s="22">
        <v>542.76</v>
      </c>
      <c r="K165" s="22">
        <v>542.76</v>
      </c>
      <c r="L165" s="22">
        <v>542.76</v>
      </c>
      <c r="M165" s="22">
        <v>542.76</v>
      </c>
      <c r="N165" s="42">
        <v>458.02</v>
      </c>
      <c r="O165" s="42">
        <v>458.14</v>
      </c>
      <c r="P165" s="42">
        <v>361.98</v>
      </c>
      <c r="Q165" s="42">
        <v>604.76</v>
      </c>
      <c r="R165" s="39">
        <v>716.77</v>
      </c>
      <c r="S165" s="41">
        <v>336.45</v>
      </c>
      <c r="T165" s="41">
        <v>160.54000000000002</v>
      </c>
      <c r="U165" s="16">
        <f t="shared" si="13"/>
        <v>-175.90999999999997</v>
      </c>
      <c r="V165" s="45">
        <f t="shared" si="14"/>
        <v>-0.52284143260514182</v>
      </c>
    </row>
    <row r="166" spans="1:22" x14ac:dyDescent="0.2">
      <c r="A166" s="55">
        <v>707151</v>
      </c>
      <c r="B166" s="55" t="s">
        <v>397</v>
      </c>
      <c r="C166" s="1">
        <v>764120</v>
      </c>
      <c r="D166" s="1" t="s">
        <v>138</v>
      </c>
      <c r="E166" s="22">
        <v>88.11</v>
      </c>
      <c r="F166" s="22">
        <v>54.160000000000004</v>
      </c>
      <c r="G166" s="22">
        <v>75.28</v>
      </c>
      <c r="H166" s="22">
        <v>77.73</v>
      </c>
      <c r="I166" s="22">
        <v>90.050000000000011</v>
      </c>
      <c r="J166" s="22">
        <v>55.58</v>
      </c>
      <c r="K166" s="22">
        <v>51.150000000000006</v>
      </c>
      <c r="L166" s="22">
        <v>54.75</v>
      </c>
      <c r="M166" s="22">
        <v>8.52</v>
      </c>
      <c r="N166" s="42">
        <v>10.98</v>
      </c>
      <c r="O166" s="42">
        <v>2.14</v>
      </c>
      <c r="P166" s="42">
        <v>8.18</v>
      </c>
      <c r="Q166" s="42">
        <v>26.35</v>
      </c>
      <c r="R166" s="42"/>
      <c r="S166" s="42"/>
      <c r="T166" s="42"/>
      <c r="U166" s="16">
        <f t="shared" si="13"/>
        <v>0</v>
      </c>
      <c r="V166" s="45" t="e">
        <f t="shared" si="14"/>
        <v>#DIV/0!</v>
      </c>
    </row>
    <row r="167" spans="1:22" x14ac:dyDescent="0.2">
      <c r="C167" s="1">
        <v>764130</v>
      </c>
      <c r="D167" s="1" t="s">
        <v>139</v>
      </c>
      <c r="U167" s="16">
        <f t="shared" si="13"/>
        <v>0</v>
      </c>
      <c r="V167" s="45" t="e">
        <f t="shared" si="14"/>
        <v>#DIV/0!</v>
      </c>
    </row>
    <row r="168" spans="1:22" x14ac:dyDescent="0.2">
      <c r="A168" s="55">
        <v>707151</v>
      </c>
      <c r="B168" s="55" t="s">
        <v>397</v>
      </c>
      <c r="C168" s="1">
        <v>764140</v>
      </c>
      <c r="D168" s="1" t="s">
        <v>140</v>
      </c>
      <c r="U168" s="16">
        <f t="shared" si="13"/>
        <v>0</v>
      </c>
      <c r="V168" s="45" t="e">
        <f t="shared" si="14"/>
        <v>#DIV/0!</v>
      </c>
    </row>
    <row r="169" spans="1:22" x14ac:dyDescent="0.2">
      <c r="A169" s="55">
        <v>707300</v>
      </c>
      <c r="B169" s="55" t="s">
        <v>401</v>
      </c>
      <c r="C169" s="1">
        <v>771100</v>
      </c>
      <c r="D169" s="1" t="s">
        <v>141</v>
      </c>
      <c r="E169" s="22">
        <v>9244.7900000000009</v>
      </c>
      <c r="F169" s="22">
        <v>1313.8300000000002</v>
      </c>
      <c r="G169" s="22">
        <v>849.02</v>
      </c>
      <c r="H169" s="22">
        <v>2094.61</v>
      </c>
      <c r="I169" s="22">
        <v>3280.9500000000003</v>
      </c>
      <c r="J169" s="22">
        <v>3362.07</v>
      </c>
      <c r="K169" s="22">
        <v>8892.08</v>
      </c>
      <c r="L169" s="22">
        <v>1637.31</v>
      </c>
      <c r="M169" s="22">
        <v>3271.7199999999993</v>
      </c>
      <c r="N169" s="42">
        <v>27.6</v>
      </c>
      <c r="O169" s="42">
        <v>1156.5999999999999</v>
      </c>
      <c r="P169" s="42">
        <v>40.94</v>
      </c>
      <c r="Q169" s="42"/>
      <c r="R169" s="42"/>
      <c r="S169" s="42"/>
      <c r="T169" s="42"/>
      <c r="U169" s="16">
        <f t="shared" si="13"/>
        <v>0</v>
      </c>
      <c r="V169" s="45" t="e">
        <f t="shared" si="14"/>
        <v>#DIV/0!</v>
      </c>
    </row>
    <row r="170" spans="1:22" x14ac:dyDescent="0.2">
      <c r="A170" s="55">
        <v>707300</v>
      </c>
      <c r="B170" s="55" t="s">
        <v>401</v>
      </c>
      <c r="C170" s="1">
        <v>771105</v>
      </c>
      <c r="D170" s="1" t="s">
        <v>142</v>
      </c>
      <c r="E170" s="22"/>
      <c r="F170" s="22"/>
      <c r="G170" s="22"/>
      <c r="H170" s="22"/>
      <c r="I170" s="22"/>
      <c r="J170" s="22"/>
      <c r="K170" s="22"/>
      <c r="L170" s="22">
        <v>387.43</v>
      </c>
      <c r="M170" s="22"/>
      <c r="N170" s="47"/>
      <c r="O170" s="22"/>
      <c r="P170" s="22"/>
      <c r="Q170" s="22"/>
      <c r="R170" s="22"/>
      <c r="S170" s="22"/>
      <c r="T170" s="22"/>
      <c r="U170" s="16">
        <f t="shared" si="13"/>
        <v>0</v>
      </c>
      <c r="V170" s="45" t="e">
        <f t="shared" si="14"/>
        <v>#DIV/0!</v>
      </c>
    </row>
    <row r="171" spans="1:22" x14ac:dyDescent="0.2">
      <c r="A171" s="55">
        <v>707300</v>
      </c>
      <c r="B171" s="55" t="s">
        <v>401</v>
      </c>
      <c r="C171" s="1">
        <v>771110</v>
      </c>
      <c r="D171" s="1" t="s">
        <v>143</v>
      </c>
      <c r="E171" s="22">
        <v>2832.21</v>
      </c>
      <c r="F171" s="22">
        <v>921.68000000000006</v>
      </c>
      <c r="G171" s="22">
        <v>632.96</v>
      </c>
      <c r="H171" s="22">
        <v>688.65</v>
      </c>
      <c r="I171" s="22">
        <v>2492.48</v>
      </c>
      <c r="J171" s="22">
        <v>3821.1899999999996</v>
      </c>
      <c r="K171" s="22">
        <v>2698.92</v>
      </c>
      <c r="L171" s="22">
        <v>3587.58</v>
      </c>
      <c r="M171" s="22">
        <v>2094.63</v>
      </c>
      <c r="N171" s="42">
        <v>2076.63</v>
      </c>
      <c r="O171" s="42">
        <v>3145.5299999999997</v>
      </c>
      <c r="P171" s="42">
        <v>3068.08</v>
      </c>
      <c r="Q171" s="42">
        <v>3583.69</v>
      </c>
      <c r="R171" s="39">
        <v>1263.99</v>
      </c>
      <c r="S171" s="41">
        <v>1378.3600000000001</v>
      </c>
      <c r="T171" s="41">
        <v>1899.1900000000003</v>
      </c>
      <c r="U171" s="16">
        <f t="shared" si="13"/>
        <v>520.83000000000015</v>
      </c>
      <c r="V171" s="45">
        <f t="shared" si="14"/>
        <v>0.37786209698482259</v>
      </c>
    </row>
    <row r="172" spans="1:22" x14ac:dyDescent="0.2">
      <c r="A172" s="55">
        <v>707200</v>
      </c>
      <c r="B172" s="55" t="s">
        <v>400</v>
      </c>
      <c r="C172" s="1">
        <v>771115</v>
      </c>
      <c r="D172" s="1" t="s">
        <v>144</v>
      </c>
      <c r="E172" s="22">
        <v>2233.0500000000002</v>
      </c>
      <c r="F172" s="22">
        <v>1900.3500000000001</v>
      </c>
      <c r="G172" s="22">
        <v>2181.7799999999997</v>
      </c>
      <c r="H172" s="22">
        <v>99.95</v>
      </c>
      <c r="I172" s="22"/>
      <c r="J172" s="22"/>
      <c r="K172" s="22"/>
      <c r="L172" s="22"/>
      <c r="M172" s="22"/>
      <c r="N172" s="22"/>
      <c r="O172" s="22"/>
      <c r="P172" s="22"/>
      <c r="Q172" s="22"/>
      <c r="R172" s="22"/>
      <c r="S172" s="22"/>
      <c r="T172" s="22"/>
      <c r="U172" s="16">
        <f t="shared" si="13"/>
        <v>0</v>
      </c>
      <c r="V172" s="45" t="e">
        <f t="shared" si="14"/>
        <v>#DIV/0!</v>
      </c>
    </row>
    <row r="173" spans="1:22" x14ac:dyDescent="0.2">
      <c r="A173" s="55">
        <v>707306</v>
      </c>
      <c r="B173" s="55" t="s">
        <v>406</v>
      </c>
      <c r="C173" s="1">
        <v>772100</v>
      </c>
      <c r="D173" s="1" t="s">
        <v>145</v>
      </c>
      <c r="E173" s="22"/>
      <c r="F173" s="22"/>
      <c r="G173" s="22"/>
      <c r="H173" s="22"/>
      <c r="I173" s="22"/>
      <c r="J173" s="22"/>
      <c r="K173" s="22"/>
      <c r="L173" s="22">
        <v>427.7</v>
      </c>
      <c r="M173" s="22">
        <v>-82.8</v>
      </c>
      <c r="N173" s="22"/>
      <c r="O173" s="22"/>
      <c r="P173" s="22"/>
      <c r="Q173" s="42">
        <v>309.5</v>
      </c>
      <c r="R173" s="39">
        <v>723.2</v>
      </c>
      <c r="S173" s="39"/>
      <c r="T173" s="39"/>
      <c r="U173" s="16">
        <f t="shared" si="13"/>
        <v>0</v>
      </c>
      <c r="V173" s="45" t="e">
        <f t="shared" si="14"/>
        <v>#DIV/0!</v>
      </c>
    </row>
    <row r="174" spans="1:22" x14ac:dyDescent="0.2">
      <c r="A174" s="55">
        <v>702201</v>
      </c>
      <c r="B174" s="55" t="s">
        <v>443</v>
      </c>
      <c r="C174" s="1">
        <v>772105</v>
      </c>
      <c r="D174" s="1" t="s">
        <v>146</v>
      </c>
      <c r="E174" s="22"/>
      <c r="F174" s="22"/>
      <c r="G174" s="22">
        <v>1736.76</v>
      </c>
      <c r="H174" s="22">
        <v>105</v>
      </c>
      <c r="I174" s="22"/>
      <c r="J174" s="22"/>
      <c r="K174" s="22">
        <v>110</v>
      </c>
      <c r="L174" s="22"/>
      <c r="M174" s="22"/>
      <c r="N174" s="22"/>
      <c r="O174" s="22"/>
      <c r="P174" s="22"/>
      <c r="Q174" s="22"/>
      <c r="R174" s="22"/>
      <c r="S174" s="41">
        <v>1392.8700000000001</v>
      </c>
      <c r="T174" s="41">
        <v>265.96000000000004</v>
      </c>
      <c r="U174" s="16">
        <f t="shared" si="13"/>
        <v>-1126.9100000000001</v>
      </c>
      <c r="V174" s="45">
        <f t="shared" si="14"/>
        <v>-0.80905612153323714</v>
      </c>
    </row>
    <row r="175" spans="1:22" x14ac:dyDescent="0.2">
      <c r="A175" s="55">
        <v>707305</v>
      </c>
      <c r="B175" s="55" t="s">
        <v>405</v>
      </c>
      <c r="C175" s="1">
        <v>772110</v>
      </c>
      <c r="D175" s="1" t="s">
        <v>278</v>
      </c>
      <c r="E175" s="22"/>
      <c r="F175" s="22"/>
      <c r="G175" s="22"/>
      <c r="H175" s="22"/>
      <c r="I175" s="22"/>
      <c r="J175" s="22"/>
      <c r="K175" s="22"/>
      <c r="L175" s="22"/>
      <c r="M175" s="22"/>
      <c r="N175" s="42">
        <v>192</v>
      </c>
      <c r="O175" s="22"/>
      <c r="P175" s="22"/>
      <c r="Q175" s="22"/>
      <c r="R175" s="22"/>
      <c r="S175" s="22"/>
      <c r="T175" s="22"/>
      <c r="U175" s="16">
        <f t="shared" si="13"/>
        <v>0</v>
      </c>
      <c r="V175" s="45" t="e">
        <f t="shared" si="14"/>
        <v>#DIV/0!</v>
      </c>
    </row>
    <row r="176" spans="1:22" x14ac:dyDescent="0.2">
      <c r="A176" s="55">
        <v>707502</v>
      </c>
      <c r="B176" s="55" t="s">
        <v>444</v>
      </c>
      <c r="C176" s="1">
        <v>772115</v>
      </c>
      <c r="D176" s="1" t="s">
        <v>147</v>
      </c>
      <c r="E176" s="22">
        <v>2304.9499999999998</v>
      </c>
      <c r="F176" s="22">
        <v>359.69</v>
      </c>
      <c r="G176" s="22">
        <v>5233.2800000000007</v>
      </c>
      <c r="H176" s="22">
        <v>1694.4</v>
      </c>
      <c r="I176" s="22"/>
      <c r="J176" s="22"/>
      <c r="K176" s="22">
        <v>2201</v>
      </c>
      <c r="L176" s="22">
        <v>3533.4300000000003</v>
      </c>
      <c r="M176" s="22">
        <v>2144.2600000000002</v>
      </c>
      <c r="N176" s="42">
        <v>6431.6399999999994</v>
      </c>
      <c r="O176" s="42">
        <v>14202.399999999996</v>
      </c>
      <c r="P176" s="42">
        <v>9125.31</v>
      </c>
      <c r="Q176" s="42">
        <v>2121.44</v>
      </c>
      <c r="R176" s="42"/>
      <c r="S176" s="42"/>
      <c r="T176" s="42"/>
      <c r="U176" s="16">
        <f t="shared" si="13"/>
        <v>0</v>
      </c>
      <c r="V176" s="45" t="e">
        <f t="shared" si="14"/>
        <v>#DIV/0!</v>
      </c>
    </row>
    <row r="177" spans="1:22" x14ac:dyDescent="0.2">
      <c r="A177" s="55">
        <v>706501</v>
      </c>
      <c r="B177" s="55" t="s">
        <v>382</v>
      </c>
      <c r="C177" s="1">
        <v>772116</v>
      </c>
      <c r="D177" s="1" t="s">
        <v>148</v>
      </c>
      <c r="U177" s="16">
        <f t="shared" si="13"/>
        <v>0</v>
      </c>
      <c r="V177" s="45" t="e">
        <f t="shared" si="14"/>
        <v>#DIV/0!</v>
      </c>
    </row>
    <row r="178" spans="1:22" x14ac:dyDescent="0.2">
      <c r="A178" s="55">
        <v>706502</v>
      </c>
      <c r="B178" s="55" t="s">
        <v>383</v>
      </c>
      <c r="C178" s="1">
        <v>772117</v>
      </c>
      <c r="D178" s="1" t="s">
        <v>149</v>
      </c>
      <c r="E178" s="22"/>
      <c r="F178" s="22"/>
      <c r="G178" s="22"/>
      <c r="H178" s="22"/>
      <c r="I178" s="22"/>
      <c r="J178" s="22"/>
      <c r="K178" s="22">
        <v>1331.82</v>
      </c>
      <c r="L178" s="22"/>
      <c r="M178" s="22"/>
      <c r="N178" s="22"/>
      <c r="O178" s="42">
        <v>300</v>
      </c>
      <c r="P178" s="42"/>
      <c r="Q178" s="42"/>
      <c r="R178" s="42"/>
      <c r="S178" s="42"/>
      <c r="T178" s="42"/>
      <c r="U178" s="16">
        <f t="shared" si="13"/>
        <v>0</v>
      </c>
      <c r="V178" s="45" t="e">
        <f t="shared" si="14"/>
        <v>#DIV/0!</v>
      </c>
    </row>
    <row r="179" spans="1:22" x14ac:dyDescent="0.2">
      <c r="A179" s="55">
        <v>707301</v>
      </c>
      <c r="B179" s="55" t="s">
        <v>402</v>
      </c>
      <c r="C179" s="1">
        <v>772120</v>
      </c>
      <c r="D179" s="1" t="s">
        <v>150</v>
      </c>
      <c r="E179" s="22">
        <v>427.90999999999997</v>
      </c>
      <c r="F179" s="22">
        <v>192.5</v>
      </c>
      <c r="G179" s="22">
        <v>947.67</v>
      </c>
      <c r="H179" s="22">
        <v>104.11999999999999</v>
      </c>
      <c r="I179" s="22">
        <v>70.089999999999989</v>
      </c>
      <c r="J179" s="22">
        <v>1233.6400000000001</v>
      </c>
      <c r="K179" s="22">
        <v>2341.13</v>
      </c>
      <c r="L179" s="22">
        <v>2831.97</v>
      </c>
      <c r="M179" s="22">
        <v>343.95000000000005</v>
      </c>
      <c r="N179" s="42">
        <v>34.47</v>
      </c>
      <c r="O179" s="42">
        <v>4133.53</v>
      </c>
      <c r="P179" s="42">
        <v>124.65</v>
      </c>
      <c r="Q179" s="42">
        <v>1451.69</v>
      </c>
      <c r="R179" s="39">
        <v>5214.6900000000005</v>
      </c>
      <c r="S179" s="41">
        <v>2210.75</v>
      </c>
      <c r="T179" s="41">
        <v>1125</v>
      </c>
      <c r="U179" s="16">
        <f t="shared" si="13"/>
        <v>-1085.75</v>
      </c>
      <c r="V179" s="45">
        <f t="shared" si="14"/>
        <v>-0.4911229220852652</v>
      </c>
    </row>
    <row r="180" spans="1:22" x14ac:dyDescent="0.2">
      <c r="A180" s="55">
        <v>702200</v>
      </c>
      <c r="B180" s="55" t="s">
        <v>74</v>
      </c>
      <c r="C180" s="1">
        <v>772125</v>
      </c>
      <c r="D180" s="1" t="s">
        <v>151</v>
      </c>
      <c r="E180" s="22"/>
      <c r="F180" s="22"/>
      <c r="G180" s="22">
        <v>537.37</v>
      </c>
      <c r="H180" s="22">
        <v>3117.69</v>
      </c>
      <c r="I180" s="22">
        <v>1043.8400000000001</v>
      </c>
      <c r="J180" s="22">
        <v>418.47</v>
      </c>
      <c r="K180" s="22">
        <v>53965.59</v>
      </c>
      <c r="L180" s="22">
        <v>78043.12</v>
      </c>
      <c r="M180" s="22">
        <v>104822.45000000004</v>
      </c>
      <c r="N180" s="42">
        <v>81323.06</v>
      </c>
      <c r="O180" s="42">
        <v>65890.080000000016</v>
      </c>
      <c r="P180" s="42">
        <v>66312.210000000021</v>
      </c>
      <c r="Q180" s="42">
        <v>72455.179999999993</v>
      </c>
      <c r="R180" s="39">
        <v>93820.380000000034</v>
      </c>
      <c r="S180" s="41">
        <v>95443.699999999983</v>
      </c>
      <c r="T180" s="41">
        <v>71173.130000000019</v>
      </c>
      <c r="U180" s="16">
        <f t="shared" si="13"/>
        <v>-24270.569999999963</v>
      </c>
      <c r="V180" s="45">
        <f t="shared" si="14"/>
        <v>-0.25429200670133251</v>
      </c>
    </row>
    <row r="181" spans="1:22" x14ac:dyDescent="0.2">
      <c r="A181">
        <v>702202</v>
      </c>
      <c r="B181" t="s">
        <v>465</v>
      </c>
      <c r="C181" s="1"/>
      <c r="D181" s="1"/>
      <c r="E181" s="22"/>
      <c r="F181" s="22"/>
      <c r="G181" s="22"/>
      <c r="H181" s="22"/>
      <c r="I181" s="22"/>
      <c r="J181" s="22"/>
      <c r="K181" s="22"/>
      <c r="L181" s="22"/>
      <c r="M181" s="22"/>
      <c r="N181" s="42"/>
      <c r="O181" s="42"/>
      <c r="P181" s="42"/>
      <c r="Q181" s="42"/>
      <c r="R181" s="36">
        <v>1911.96</v>
      </c>
      <c r="S181" s="41">
        <v>1411.5500000000002</v>
      </c>
      <c r="T181" s="41">
        <v>24915.040000000001</v>
      </c>
      <c r="U181" s="16">
        <f t="shared" si="13"/>
        <v>23503.49</v>
      </c>
      <c r="V181" s="45">
        <f t="shared" si="14"/>
        <v>16.650837731571677</v>
      </c>
    </row>
    <row r="182" spans="1:22" x14ac:dyDescent="0.2">
      <c r="A182" s="72">
        <v>702203</v>
      </c>
      <c r="B182" s="72" t="s">
        <v>464</v>
      </c>
      <c r="C182" s="1"/>
      <c r="D182" s="1"/>
      <c r="E182" s="22"/>
      <c r="F182" s="22"/>
      <c r="G182" s="22"/>
      <c r="H182" s="22"/>
      <c r="I182" s="22"/>
      <c r="J182" s="22"/>
      <c r="K182" s="22"/>
      <c r="L182" s="22"/>
      <c r="M182" s="22"/>
      <c r="N182" s="42"/>
      <c r="O182" s="42"/>
      <c r="P182" s="42"/>
      <c r="Q182" s="42"/>
      <c r="R182" s="36"/>
      <c r="S182" s="41">
        <v>4222</v>
      </c>
      <c r="T182" s="41"/>
      <c r="U182" s="16">
        <f t="shared" si="13"/>
        <v>-4222</v>
      </c>
      <c r="V182" s="45">
        <f t="shared" si="14"/>
        <v>-1</v>
      </c>
    </row>
    <row r="183" spans="1:22" x14ac:dyDescent="0.2">
      <c r="A183" s="55">
        <v>707304</v>
      </c>
      <c r="B183" s="55" t="s">
        <v>404</v>
      </c>
      <c r="C183" s="1">
        <v>772135</v>
      </c>
      <c r="D183" s="1" t="s">
        <v>152</v>
      </c>
      <c r="E183" s="22">
        <v>30290.509999999995</v>
      </c>
      <c r="F183" s="22">
        <v>49933.059999999983</v>
      </c>
      <c r="G183" s="22">
        <v>33993.62999999999</v>
      </c>
      <c r="H183" s="22">
        <v>37028.910000000003</v>
      </c>
      <c r="I183" s="22">
        <v>42401.360000000008</v>
      </c>
      <c r="J183" s="22">
        <v>33831.64</v>
      </c>
      <c r="K183" s="22">
        <v>4292.1499999999996</v>
      </c>
      <c r="L183" s="22">
        <v>22.72</v>
      </c>
      <c r="M183" s="22">
        <v>180.62</v>
      </c>
      <c r="N183" s="22"/>
      <c r="O183" s="42">
        <v>315</v>
      </c>
      <c r="P183" s="42">
        <v>240.19</v>
      </c>
      <c r="Q183" s="42"/>
      <c r="R183" s="39">
        <v>13.69</v>
      </c>
      <c r="S183" s="41">
        <v>1751.2600000000002</v>
      </c>
      <c r="T183" s="41">
        <v>2210.7200000000003</v>
      </c>
      <c r="U183" s="16">
        <f t="shared" si="13"/>
        <v>459.46000000000004</v>
      </c>
      <c r="V183" s="45">
        <f t="shared" si="14"/>
        <v>0.26235967246439706</v>
      </c>
    </row>
    <row r="184" spans="1:22" x14ac:dyDescent="0.2">
      <c r="A184" s="55">
        <v>707309</v>
      </c>
      <c r="B184" s="55" t="s">
        <v>408</v>
      </c>
      <c r="C184" s="1">
        <v>772140</v>
      </c>
      <c r="D184" s="1" t="s">
        <v>153</v>
      </c>
      <c r="E184" s="22">
        <v>10039.93</v>
      </c>
      <c r="F184" s="22">
        <v>7703.6900000000005</v>
      </c>
      <c r="G184" s="22">
        <v>3042.29</v>
      </c>
      <c r="H184" s="22">
        <v>4328.7500000000009</v>
      </c>
      <c r="I184" s="22">
        <v>4564.53</v>
      </c>
      <c r="J184" s="22">
        <v>5331.82</v>
      </c>
      <c r="K184" s="22">
        <v>7766.3100000000013</v>
      </c>
      <c r="L184" s="22">
        <v>9815.0300000000007</v>
      </c>
      <c r="M184" s="22">
        <v>24957.670000000002</v>
      </c>
      <c r="N184" s="42">
        <v>21276.230000000007</v>
      </c>
      <c r="O184" s="42">
        <v>20913.5</v>
      </c>
      <c r="P184" s="42">
        <v>31349.5</v>
      </c>
      <c r="Q184" s="42">
        <v>29539.279999999999</v>
      </c>
      <c r="R184" s="39">
        <v>19959.760000000006</v>
      </c>
      <c r="S184" s="41">
        <v>3976.1599999999994</v>
      </c>
      <c r="T184" s="41">
        <v>27485.520000000011</v>
      </c>
      <c r="U184" s="16">
        <f t="shared" si="13"/>
        <v>23509.360000000011</v>
      </c>
      <c r="V184" s="45">
        <f t="shared" si="14"/>
        <v>5.9125789706651686</v>
      </c>
    </row>
    <row r="185" spans="1:22" x14ac:dyDescent="0.2">
      <c r="A185" s="55">
        <v>707307</v>
      </c>
      <c r="B185" s="55" t="s">
        <v>407</v>
      </c>
      <c r="C185" s="1">
        <v>772150</v>
      </c>
      <c r="D185" s="1" t="s">
        <v>154</v>
      </c>
      <c r="E185" s="22"/>
      <c r="F185" s="22"/>
      <c r="G185" s="22"/>
      <c r="H185" s="22"/>
      <c r="I185" s="22"/>
      <c r="J185" s="22"/>
      <c r="K185" s="22">
        <v>1215</v>
      </c>
      <c r="L185" s="22"/>
      <c r="M185" s="22">
        <v>1500</v>
      </c>
      <c r="N185" s="42">
        <v>2938.88</v>
      </c>
      <c r="O185" s="42">
        <v>579</v>
      </c>
      <c r="P185" s="42">
        <v>3765</v>
      </c>
      <c r="Q185" s="42">
        <v>364.57</v>
      </c>
      <c r="R185" s="39">
        <v>1459.5000000000002</v>
      </c>
      <c r="S185" s="39"/>
      <c r="T185" s="39">
        <v>2738.31</v>
      </c>
      <c r="U185" s="16">
        <f t="shared" si="13"/>
        <v>2738.31</v>
      </c>
      <c r="V185" s="45" t="e">
        <f t="shared" si="14"/>
        <v>#DIV/0!</v>
      </c>
    </row>
    <row r="186" spans="1:22" x14ac:dyDescent="0.2">
      <c r="A186" s="55">
        <v>707308</v>
      </c>
      <c r="B186" s="55" t="s">
        <v>445</v>
      </c>
      <c r="C186" s="57">
        <v>772155</v>
      </c>
      <c r="D186" s="57" t="s">
        <v>260</v>
      </c>
      <c r="E186" s="22"/>
      <c r="F186" s="22"/>
      <c r="G186" s="22"/>
      <c r="H186" s="22"/>
      <c r="I186" s="22">
        <v>1501.0900000000001</v>
      </c>
      <c r="J186" s="22"/>
      <c r="K186" s="22"/>
      <c r="L186" s="22"/>
      <c r="M186" s="22"/>
      <c r="N186" s="22"/>
      <c r="O186" s="22"/>
      <c r="P186" s="22"/>
      <c r="Q186" s="22"/>
      <c r="R186" s="22"/>
      <c r="S186" s="22"/>
      <c r="T186" s="22"/>
      <c r="U186" s="16">
        <f t="shared" si="13"/>
        <v>0</v>
      </c>
      <c r="V186" s="45" t="e">
        <f t="shared" si="14"/>
        <v>#DIV/0!</v>
      </c>
    </row>
    <row r="187" spans="1:22" x14ac:dyDescent="0.2">
      <c r="A187" s="55">
        <v>707350</v>
      </c>
      <c r="B187" s="55" t="s">
        <v>409</v>
      </c>
      <c r="C187" s="1">
        <v>773100</v>
      </c>
      <c r="D187" s="1" t="s">
        <v>155</v>
      </c>
      <c r="E187" s="22"/>
      <c r="F187" s="22"/>
      <c r="G187" s="22"/>
      <c r="H187" s="22">
        <v>3125.15</v>
      </c>
      <c r="I187" s="22">
        <v>1044.45</v>
      </c>
      <c r="J187" s="22">
        <v>21032.5</v>
      </c>
      <c r="K187" s="22">
        <v>286.39999999999998</v>
      </c>
      <c r="L187" s="22">
        <v>886.42000000000007</v>
      </c>
      <c r="M187" s="22">
        <v>184.73000000000002</v>
      </c>
      <c r="N187" s="42">
        <v>5267.07</v>
      </c>
      <c r="O187" s="42">
        <v>170</v>
      </c>
      <c r="P187" s="42">
        <v>240.71</v>
      </c>
      <c r="Q187" s="42">
        <v>25.45</v>
      </c>
      <c r="R187" s="42"/>
      <c r="S187" s="42"/>
      <c r="T187" s="42"/>
      <c r="U187" s="16">
        <f t="shared" si="13"/>
        <v>0</v>
      </c>
      <c r="V187" s="45" t="e">
        <f t="shared" si="14"/>
        <v>#DIV/0!</v>
      </c>
    </row>
    <row r="188" spans="1:22" x14ac:dyDescent="0.2">
      <c r="A188" s="55">
        <v>707350</v>
      </c>
      <c r="B188" s="55" t="s">
        <v>409</v>
      </c>
      <c r="C188" s="1">
        <v>773110</v>
      </c>
      <c r="D188" s="1" t="s">
        <v>156</v>
      </c>
      <c r="E188" s="22">
        <v>1019.14</v>
      </c>
      <c r="F188" s="22">
        <v>319.77</v>
      </c>
      <c r="G188" s="22">
        <v>432.63</v>
      </c>
      <c r="H188" s="22">
        <v>288.2</v>
      </c>
      <c r="I188" s="22">
        <v>1451.12</v>
      </c>
      <c r="J188" s="22">
        <v>1278.52</v>
      </c>
      <c r="K188" s="22">
        <v>783.95</v>
      </c>
      <c r="L188" s="22">
        <v>2447.8200000000002</v>
      </c>
      <c r="M188" s="22">
        <v>805.1</v>
      </c>
      <c r="N188" s="42">
        <v>70.14</v>
      </c>
      <c r="O188" s="42">
        <v>3124.5</v>
      </c>
      <c r="P188" s="42">
        <v>540</v>
      </c>
      <c r="Q188" s="42">
        <v>138.07</v>
      </c>
      <c r="R188" s="39">
        <v>1660.1599999999999</v>
      </c>
      <c r="S188" s="41">
        <v>1172.21</v>
      </c>
      <c r="T188" s="41"/>
      <c r="U188" s="16">
        <f t="shared" si="13"/>
        <v>-1172.21</v>
      </c>
      <c r="V188" s="45">
        <f t="shared" si="14"/>
        <v>-1</v>
      </c>
    </row>
    <row r="189" spans="1:22" x14ac:dyDescent="0.2">
      <c r="A189" s="55">
        <v>707403</v>
      </c>
      <c r="B189" s="55" t="s">
        <v>410</v>
      </c>
      <c r="C189" s="1">
        <v>773115</v>
      </c>
      <c r="D189" s="1" t="s">
        <v>157</v>
      </c>
      <c r="E189" s="22">
        <v>47.75</v>
      </c>
      <c r="F189" s="22"/>
      <c r="G189" s="22"/>
      <c r="H189" s="22"/>
      <c r="I189" s="22">
        <v>20</v>
      </c>
      <c r="J189" s="22">
        <v>40</v>
      </c>
      <c r="K189" s="22"/>
      <c r="L189" s="22">
        <v>20</v>
      </c>
      <c r="M189" s="22"/>
      <c r="N189" s="22"/>
      <c r="O189" s="22"/>
      <c r="P189" s="22">
        <v>199.18</v>
      </c>
      <c r="Q189" s="22"/>
      <c r="R189" s="61">
        <v>116.26</v>
      </c>
      <c r="S189" s="61"/>
      <c r="T189" s="61"/>
      <c r="U189" s="16">
        <f t="shared" si="13"/>
        <v>0</v>
      </c>
      <c r="V189" s="45" t="e">
        <f t="shared" si="14"/>
        <v>#DIV/0!</v>
      </c>
    </row>
    <row r="190" spans="1:22" x14ac:dyDescent="0.2">
      <c r="A190" s="55">
        <v>707400</v>
      </c>
      <c r="B190" s="55" t="s">
        <v>158</v>
      </c>
      <c r="C190" s="1">
        <v>773120</v>
      </c>
      <c r="D190" s="1" t="s">
        <v>158</v>
      </c>
      <c r="E190" s="22">
        <v>1274.72</v>
      </c>
      <c r="F190" s="22">
        <v>117.65</v>
      </c>
      <c r="G190" s="22">
        <v>139.09</v>
      </c>
      <c r="H190" s="22">
        <v>384.62</v>
      </c>
      <c r="I190" s="22">
        <v>1138.7</v>
      </c>
      <c r="J190" s="22">
        <v>304.49</v>
      </c>
      <c r="K190" s="22">
        <v>305.62</v>
      </c>
      <c r="L190" s="22">
        <v>267.46000000000004</v>
      </c>
      <c r="M190" s="22">
        <v>265.37</v>
      </c>
      <c r="N190" s="42">
        <v>88.05</v>
      </c>
      <c r="O190" s="42">
        <v>217.84000000000003</v>
      </c>
      <c r="P190" s="42">
        <v>720.92000000000007</v>
      </c>
      <c r="Q190" s="42">
        <v>912.78</v>
      </c>
      <c r="R190" s="39">
        <v>906.26</v>
      </c>
      <c r="S190" s="41">
        <v>2122.5600000000004</v>
      </c>
      <c r="T190" s="41"/>
      <c r="U190" s="16">
        <f t="shared" si="13"/>
        <v>-2122.5600000000004</v>
      </c>
      <c r="V190" s="45">
        <f t="shared" si="14"/>
        <v>-1</v>
      </c>
    </row>
    <row r="191" spans="1:22" x14ac:dyDescent="0.2">
      <c r="A191" s="55">
        <v>702105</v>
      </c>
      <c r="B191" s="55" t="s">
        <v>350</v>
      </c>
      <c r="C191" s="1">
        <v>773125</v>
      </c>
      <c r="D191" s="1" t="s">
        <v>159</v>
      </c>
      <c r="E191" s="22">
        <v>499</v>
      </c>
      <c r="F191" s="22"/>
      <c r="G191" s="22"/>
      <c r="H191" s="22">
        <v>450.6</v>
      </c>
      <c r="I191" s="22">
        <v>1462.5</v>
      </c>
      <c r="J191" s="22">
        <v>580.93000000000006</v>
      </c>
      <c r="K191" s="22">
        <v>1821.48</v>
      </c>
      <c r="L191" s="22"/>
      <c r="M191" s="22"/>
      <c r="N191" s="22"/>
      <c r="O191" s="22"/>
      <c r="P191" s="22"/>
      <c r="Q191" s="42">
        <v>1525</v>
      </c>
      <c r="R191" s="39">
        <v>5288.57</v>
      </c>
      <c r="S191" s="41">
        <v>32850.19</v>
      </c>
      <c r="T191" s="41"/>
      <c r="U191" s="16">
        <f t="shared" si="13"/>
        <v>-32850.19</v>
      </c>
      <c r="V191" s="45">
        <f t="shared" si="14"/>
        <v>-1</v>
      </c>
    </row>
    <row r="192" spans="1:22" x14ac:dyDescent="0.2">
      <c r="A192" s="55">
        <v>707505</v>
      </c>
      <c r="B192" s="55" t="s">
        <v>413</v>
      </c>
      <c r="C192" s="1">
        <v>773130</v>
      </c>
      <c r="D192" s="1" t="s">
        <v>160</v>
      </c>
      <c r="E192" s="22"/>
      <c r="F192" s="22"/>
      <c r="G192" s="22"/>
      <c r="H192" s="22"/>
      <c r="I192" s="22"/>
      <c r="J192" s="22">
        <v>102</v>
      </c>
      <c r="K192" s="22">
        <v>53.13</v>
      </c>
      <c r="L192" s="22"/>
      <c r="M192" s="22">
        <v>102</v>
      </c>
      <c r="N192" s="22"/>
      <c r="O192" s="22"/>
      <c r="P192" s="22"/>
      <c r="Q192" s="42">
        <v>272</v>
      </c>
      <c r="R192" s="42"/>
      <c r="S192" s="41">
        <v>344.52</v>
      </c>
      <c r="T192" s="41"/>
      <c r="U192" s="16">
        <f t="shared" si="13"/>
        <v>-344.52</v>
      </c>
      <c r="V192" s="45">
        <f t="shared" si="14"/>
        <v>-1</v>
      </c>
    </row>
    <row r="193" spans="1:22" x14ac:dyDescent="0.2">
      <c r="A193" s="55">
        <v>707505</v>
      </c>
      <c r="B193" s="55" t="s">
        <v>413</v>
      </c>
      <c r="C193" s="1">
        <v>773135</v>
      </c>
      <c r="D193" s="1" t="s">
        <v>161</v>
      </c>
      <c r="E193" s="22"/>
      <c r="F193" s="22"/>
      <c r="G193" s="22"/>
      <c r="H193" s="22">
        <v>97.740000000000009</v>
      </c>
      <c r="I193" s="22"/>
      <c r="J193" s="22"/>
      <c r="K193" s="22"/>
      <c r="L193" s="22">
        <v>241.95000000000002</v>
      </c>
      <c r="M193" s="22"/>
      <c r="N193" s="22"/>
      <c r="O193" s="22"/>
      <c r="P193" s="22"/>
      <c r="Q193" s="42">
        <v>187.76</v>
      </c>
      <c r="R193" s="42"/>
      <c r="S193" s="42"/>
      <c r="T193" s="42"/>
      <c r="U193" s="16">
        <f t="shared" si="13"/>
        <v>0</v>
      </c>
      <c r="V193" s="45" t="e">
        <f t="shared" si="14"/>
        <v>#DIV/0!</v>
      </c>
    </row>
    <row r="194" spans="1:22" x14ac:dyDescent="0.2">
      <c r="A194" s="55">
        <v>707452</v>
      </c>
      <c r="B194" s="55" t="s">
        <v>412</v>
      </c>
      <c r="C194" s="1">
        <v>773141</v>
      </c>
      <c r="D194" s="1" t="s">
        <v>162</v>
      </c>
      <c r="E194" s="22"/>
      <c r="F194" s="22"/>
      <c r="G194" s="22">
        <v>1250.83</v>
      </c>
      <c r="H194" s="22">
        <v>675</v>
      </c>
      <c r="I194" s="22"/>
      <c r="J194" s="22">
        <v>113.5</v>
      </c>
      <c r="K194" s="22"/>
      <c r="L194" s="22"/>
      <c r="M194" s="22"/>
      <c r="N194" s="22"/>
      <c r="O194" s="42">
        <v>130.4</v>
      </c>
      <c r="P194" s="42"/>
      <c r="Q194" s="42"/>
      <c r="R194" s="42"/>
      <c r="S194" s="42"/>
      <c r="T194" s="42"/>
      <c r="U194" s="16">
        <f t="shared" si="13"/>
        <v>0</v>
      </c>
      <c r="V194" s="45" t="e">
        <f t="shared" si="14"/>
        <v>#DIV/0!</v>
      </c>
    </row>
    <row r="195" spans="1:22" x14ac:dyDescent="0.2">
      <c r="A195" s="55">
        <v>707450</v>
      </c>
      <c r="B195" s="55" t="s">
        <v>411</v>
      </c>
      <c r="C195" s="1">
        <v>773144</v>
      </c>
      <c r="D195" s="1" t="s">
        <v>163</v>
      </c>
      <c r="S195" s="41">
        <v>93.83</v>
      </c>
      <c r="T195" s="41"/>
      <c r="U195" s="16">
        <f t="shared" si="13"/>
        <v>-93.83</v>
      </c>
      <c r="V195" s="45">
        <f t="shared" si="14"/>
        <v>-1</v>
      </c>
    </row>
    <row r="196" spans="1:22" x14ac:dyDescent="0.2">
      <c r="A196" s="72">
        <v>702101</v>
      </c>
      <c r="B196" s="72" t="s">
        <v>477</v>
      </c>
      <c r="C196" s="1"/>
      <c r="D196" s="1"/>
      <c r="S196" s="41"/>
      <c r="T196" s="41">
        <v>675</v>
      </c>
      <c r="U196" s="16">
        <f t="shared" si="13"/>
        <v>675</v>
      </c>
      <c r="V196" s="45" t="e">
        <f t="shared" si="14"/>
        <v>#DIV/0!</v>
      </c>
    </row>
    <row r="197" spans="1:22" x14ac:dyDescent="0.2">
      <c r="A197" s="55">
        <v>702102</v>
      </c>
      <c r="B197" s="55" t="s">
        <v>348</v>
      </c>
      <c r="C197" s="1">
        <v>773155</v>
      </c>
      <c r="D197" s="1" t="s">
        <v>200</v>
      </c>
      <c r="O197" s="42">
        <v>300</v>
      </c>
      <c r="P197" s="42"/>
      <c r="Q197" s="42">
        <v>1044</v>
      </c>
      <c r="R197" s="39">
        <v>7938.3799999999992</v>
      </c>
      <c r="S197" s="41">
        <v>1984.67</v>
      </c>
      <c r="T197" s="41">
        <v>1586.8200000000002</v>
      </c>
      <c r="U197" s="16">
        <f t="shared" si="13"/>
        <v>-397.84999999999991</v>
      </c>
      <c r="V197" s="45">
        <f t="shared" si="14"/>
        <v>-0.20046153768636593</v>
      </c>
    </row>
    <row r="198" spans="1:22" x14ac:dyDescent="0.2">
      <c r="A198">
        <v>702100</v>
      </c>
      <c r="B198" t="s">
        <v>347</v>
      </c>
      <c r="C198" s="1">
        <v>773160</v>
      </c>
      <c r="D198" s="1"/>
      <c r="O198" s="42"/>
      <c r="P198" s="42"/>
      <c r="Q198" s="42"/>
      <c r="R198" s="39">
        <v>208.96</v>
      </c>
      <c r="S198" s="39"/>
      <c r="T198" s="39"/>
      <c r="U198" s="16">
        <f t="shared" si="13"/>
        <v>0</v>
      </c>
      <c r="V198" s="45" t="e">
        <f t="shared" si="14"/>
        <v>#DIV/0!</v>
      </c>
    </row>
    <row r="199" spans="1:22" x14ac:dyDescent="0.2">
      <c r="A199" s="55">
        <v>707590</v>
      </c>
      <c r="B199" s="55" t="s">
        <v>415</v>
      </c>
      <c r="C199" s="1">
        <v>774120</v>
      </c>
      <c r="D199" s="1" t="s">
        <v>164</v>
      </c>
      <c r="E199" s="22">
        <v>86603.810000000012</v>
      </c>
      <c r="F199" s="22">
        <v>103875.31</v>
      </c>
      <c r="G199" s="22">
        <v>49909.340000000004</v>
      </c>
      <c r="H199" s="22">
        <v>42974.720000000008</v>
      </c>
      <c r="I199" s="22">
        <v>82784.31</v>
      </c>
      <c r="J199" s="22">
        <v>83078.11</v>
      </c>
      <c r="K199" s="22">
        <v>119425.73</v>
      </c>
      <c r="L199" s="22">
        <v>106282.15000000001</v>
      </c>
      <c r="M199" s="22">
        <v>82991.040000000008</v>
      </c>
      <c r="N199" s="42">
        <v>68895.86</v>
      </c>
      <c r="O199" s="42">
        <v>51712.37</v>
      </c>
      <c r="P199" s="42">
        <v>44802.46</v>
      </c>
      <c r="Q199" s="42">
        <v>47681.64</v>
      </c>
      <c r="R199" s="39">
        <v>77467.12</v>
      </c>
      <c r="S199" s="41">
        <v>117378.5</v>
      </c>
      <c r="T199" s="41">
        <v>123158.54999999999</v>
      </c>
      <c r="U199" s="16">
        <f t="shared" si="13"/>
        <v>5780.0499999999884</v>
      </c>
      <c r="V199" s="45">
        <f t="shared" si="14"/>
        <v>4.9242834079494868E-2</v>
      </c>
    </row>
    <row r="200" spans="1:22" x14ac:dyDescent="0.2">
      <c r="A200" s="55">
        <v>707506</v>
      </c>
      <c r="B200" s="55" t="s">
        <v>414</v>
      </c>
      <c r="C200" s="57">
        <v>774130</v>
      </c>
      <c r="D200" s="57" t="s">
        <v>202</v>
      </c>
      <c r="E200" s="22"/>
      <c r="F200" s="22">
        <v>3332.16</v>
      </c>
      <c r="G200" s="22"/>
      <c r="H200" s="22"/>
      <c r="I200" s="22"/>
      <c r="J200" s="22"/>
      <c r="K200" s="22"/>
      <c r="L200" s="22">
        <v>-1.59</v>
      </c>
      <c r="M200" s="22"/>
      <c r="N200" s="42">
        <v>3.58</v>
      </c>
      <c r="O200" s="42">
        <v>21.45</v>
      </c>
      <c r="P200" s="42"/>
      <c r="Q200" s="42"/>
      <c r="R200" s="42"/>
      <c r="S200" s="42"/>
      <c r="T200" s="42"/>
      <c r="U200" s="16">
        <f t="shared" si="13"/>
        <v>0</v>
      </c>
      <c r="V200" s="45" t="e">
        <f t="shared" si="14"/>
        <v>#DIV/0!</v>
      </c>
    </row>
    <row r="201" spans="1:22" x14ac:dyDescent="0.2">
      <c r="A201" s="55">
        <v>708025</v>
      </c>
      <c r="B201" s="55" t="s">
        <v>448</v>
      </c>
      <c r="C201" s="1">
        <v>781100</v>
      </c>
      <c r="D201" s="1" t="s">
        <v>165</v>
      </c>
      <c r="E201" s="22"/>
      <c r="F201" s="22">
        <v>398.44</v>
      </c>
      <c r="G201" s="22"/>
      <c r="H201" s="22"/>
      <c r="I201" s="22"/>
      <c r="J201" s="22"/>
      <c r="K201" s="22"/>
      <c r="L201" s="22"/>
      <c r="M201" s="22"/>
      <c r="N201" s="22"/>
      <c r="O201" s="22"/>
      <c r="P201" s="22"/>
      <c r="Q201" s="22"/>
      <c r="R201" s="22"/>
      <c r="S201" s="22"/>
      <c r="T201" s="22"/>
      <c r="U201" s="16">
        <f t="shared" si="13"/>
        <v>0</v>
      </c>
      <c r="V201" s="45" t="e">
        <f t="shared" si="14"/>
        <v>#DIV/0!</v>
      </c>
    </row>
    <row r="202" spans="1:22" x14ac:dyDescent="0.2">
      <c r="A202" s="55">
        <v>708021</v>
      </c>
      <c r="B202" s="55" t="s">
        <v>417</v>
      </c>
      <c r="C202" s="1">
        <v>784202</v>
      </c>
      <c r="D202" s="1" t="s">
        <v>166</v>
      </c>
      <c r="U202" s="16">
        <f t="shared" si="13"/>
        <v>0</v>
      </c>
      <c r="V202" s="45" t="e">
        <f t="shared" si="14"/>
        <v>#DIV/0!</v>
      </c>
    </row>
    <row r="203" spans="1:22" x14ac:dyDescent="0.2">
      <c r="A203" s="55">
        <v>708023</v>
      </c>
      <c r="B203" s="55" t="s">
        <v>418</v>
      </c>
      <c r="C203" s="1">
        <v>784203</v>
      </c>
      <c r="D203" s="1" t="s">
        <v>167</v>
      </c>
      <c r="U203" s="16">
        <f t="shared" si="13"/>
        <v>0</v>
      </c>
      <c r="V203" s="45" t="e">
        <f t="shared" si="14"/>
        <v>#DIV/0!</v>
      </c>
    </row>
    <row r="204" spans="1:22" x14ac:dyDescent="0.2">
      <c r="A204" s="55">
        <v>708061</v>
      </c>
      <c r="B204" s="55" t="s">
        <v>422</v>
      </c>
      <c r="C204" s="1">
        <v>784302</v>
      </c>
      <c r="D204" s="1" t="s">
        <v>168</v>
      </c>
      <c r="U204" s="16">
        <f t="shared" si="13"/>
        <v>0</v>
      </c>
      <c r="V204" s="45" t="e">
        <f t="shared" si="14"/>
        <v>#DIV/0!</v>
      </c>
    </row>
    <row r="205" spans="1:22" x14ac:dyDescent="0.2">
      <c r="A205" s="55">
        <v>708063</v>
      </c>
      <c r="B205" s="55" t="s">
        <v>423</v>
      </c>
      <c r="C205" s="1">
        <v>784304</v>
      </c>
      <c r="D205" s="1" t="s">
        <v>169</v>
      </c>
      <c r="U205" s="16">
        <f t="shared" si="13"/>
        <v>0</v>
      </c>
      <c r="V205" s="45" t="e">
        <f t="shared" si="14"/>
        <v>#DIV/0!</v>
      </c>
    </row>
    <row r="206" spans="1:22" x14ac:dyDescent="0.2">
      <c r="A206" s="55">
        <v>708030</v>
      </c>
      <c r="B206" s="55" t="s">
        <v>419</v>
      </c>
      <c r="C206" s="1">
        <v>784307</v>
      </c>
      <c r="D206" s="1" t="s">
        <v>170</v>
      </c>
      <c r="E206" s="22">
        <v>2136.41</v>
      </c>
      <c r="F206" s="22"/>
      <c r="G206" s="22"/>
      <c r="H206" s="22"/>
      <c r="I206" s="22"/>
      <c r="J206" s="22"/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16">
        <f t="shared" si="13"/>
        <v>0</v>
      </c>
      <c r="V206" s="45" t="e">
        <f t="shared" si="14"/>
        <v>#DIV/0!</v>
      </c>
    </row>
    <row r="207" spans="1:22" x14ac:dyDescent="0.2">
      <c r="A207" s="55">
        <v>708060</v>
      </c>
      <c r="B207" s="55" t="s">
        <v>421</v>
      </c>
      <c r="C207" s="1">
        <v>784308</v>
      </c>
      <c r="D207" s="1" t="s">
        <v>171</v>
      </c>
      <c r="E207" s="22"/>
      <c r="F207" s="22">
        <v>1350</v>
      </c>
      <c r="G207" s="22"/>
      <c r="H207" s="22">
        <v>6041.1500000000005</v>
      </c>
      <c r="I207" s="22"/>
      <c r="J207" s="22"/>
      <c r="K207" s="22"/>
      <c r="L207" s="22"/>
      <c r="M207" s="22">
        <v>8995</v>
      </c>
      <c r="N207" s="22"/>
      <c r="O207" s="22"/>
      <c r="P207" s="22"/>
      <c r="Q207" s="22"/>
      <c r="R207" s="22"/>
      <c r="S207" s="22"/>
      <c r="T207" s="22"/>
      <c r="U207" s="16">
        <f t="shared" si="13"/>
        <v>0</v>
      </c>
      <c r="V207" s="45" t="e">
        <f t="shared" si="14"/>
        <v>#DIV/0!</v>
      </c>
    </row>
    <row r="208" spans="1:22" x14ac:dyDescent="0.2">
      <c r="A208" s="55">
        <v>708040</v>
      </c>
      <c r="B208" s="55" t="s">
        <v>420</v>
      </c>
      <c r="C208" s="1">
        <v>784401</v>
      </c>
      <c r="D208" s="1" t="s">
        <v>172</v>
      </c>
      <c r="E208" s="22">
        <v>4938.96</v>
      </c>
      <c r="F208" s="22">
        <v>14637.16</v>
      </c>
      <c r="G208" s="22">
        <v>3302.36</v>
      </c>
      <c r="H208" s="22">
        <v>2751</v>
      </c>
      <c r="I208" s="22">
        <v>1341.1200000000001</v>
      </c>
      <c r="J208" s="22">
        <v>4061</v>
      </c>
      <c r="K208" s="22">
        <v>4850.7999999999993</v>
      </c>
      <c r="L208" s="22">
        <v>9211.99</v>
      </c>
      <c r="M208" s="22">
        <v>5356.2800000000007</v>
      </c>
      <c r="N208" s="42">
        <v>8844.06</v>
      </c>
      <c r="O208" s="42">
        <v>9951.1200000000008</v>
      </c>
      <c r="P208" s="42">
        <v>8216.35</v>
      </c>
      <c r="Q208" s="42">
        <v>11421.34</v>
      </c>
      <c r="R208" s="39">
        <v>41.52</v>
      </c>
      <c r="S208" s="41">
        <v>23765.22</v>
      </c>
      <c r="T208" s="41">
        <v>-20.22</v>
      </c>
      <c r="U208" s="16">
        <f t="shared" si="13"/>
        <v>-23785.440000000002</v>
      </c>
      <c r="V208" s="45">
        <f t="shared" si="14"/>
        <v>-1.0008508231777362</v>
      </c>
    </row>
    <row r="209" spans="1:22" x14ac:dyDescent="0.2">
      <c r="A209" s="55">
        <v>708080</v>
      </c>
      <c r="B209" s="55" t="s">
        <v>451</v>
      </c>
      <c r="C209" s="57">
        <v>784402</v>
      </c>
      <c r="D209" s="57" t="s">
        <v>261</v>
      </c>
      <c r="E209" s="22"/>
      <c r="F209" s="22"/>
      <c r="G209" s="22"/>
      <c r="H209" s="22"/>
      <c r="I209" s="22"/>
      <c r="J209" s="22"/>
      <c r="K209" s="22">
        <v>188.93</v>
      </c>
      <c r="L209" s="22">
        <v>675</v>
      </c>
      <c r="M209" s="22">
        <v>1831.98</v>
      </c>
      <c r="N209" s="42">
        <v>799</v>
      </c>
      <c r="O209" s="42">
        <v>514</v>
      </c>
      <c r="P209" s="42"/>
      <c r="Q209" s="42"/>
      <c r="R209" s="42"/>
      <c r="S209" s="42"/>
      <c r="T209" s="42"/>
      <c r="U209" s="16">
        <f t="shared" si="13"/>
        <v>0</v>
      </c>
      <c r="V209" s="45" t="e">
        <f t="shared" si="14"/>
        <v>#DIV/0!</v>
      </c>
    </row>
    <row r="210" spans="1:22" x14ac:dyDescent="0.2">
      <c r="A210" s="55">
        <v>708060</v>
      </c>
      <c r="B210" s="55" t="s">
        <v>421</v>
      </c>
      <c r="C210" s="1">
        <v>784501</v>
      </c>
      <c r="D210" s="1" t="s">
        <v>173</v>
      </c>
      <c r="E210" s="24">
        <v>24894.01</v>
      </c>
      <c r="F210" s="24">
        <v>19334.439999999999</v>
      </c>
      <c r="G210" s="24">
        <v>219114.75</v>
      </c>
      <c r="H210" s="24">
        <v>17761.689999999999</v>
      </c>
      <c r="I210" s="24">
        <v>10500.23</v>
      </c>
      <c r="J210" s="24">
        <v>82731.92</v>
      </c>
      <c r="K210" s="24">
        <v>23613.839999999997</v>
      </c>
      <c r="L210" s="24">
        <v>6824.51</v>
      </c>
      <c r="M210" s="24">
        <v>25140.300000000003</v>
      </c>
      <c r="N210" s="36">
        <v>2537</v>
      </c>
      <c r="O210" s="36">
        <v>6544.3</v>
      </c>
      <c r="P210" s="36"/>
      <c r="Q210" s="36">
        <v>13827.62</v>
      </c>
      <c r="R210" s="36"/>
      <c r="S210" s="36"/>
      <c r="T210" s="36"/>
      <c r="U210" s="16">
        <f t="shared" si="13"/>
        <v>0</v>
      </c>
      <c r="V210" s="45" t="e">
        <f t="shared" si="14"/>
        <v>#DIV/0!</v>
      </c>
    </row>
    <row r="211" spans="1:22" x14ac:dyDescent="0.2">
      <c r="A211" s="55">
        <v>708101</v>
      </c>
      <c r="B211" s="55" t="s">
        <v>425</v>
      </c>
      <c r="C211" s="23">
        <v>784502</v>
      </c>
      <c r="D211" s="23" t="s">
        <v>210</v>
      </c>
      <c r="E211" s="24"/>
      <c r="F211" s="24"/>
      <c r="G211" s="24">
        <v>950.5</v>
      </c>
      <c r="H211" s="24"/>
      <c r="I211" s="24"/>
      <c r="J211" s="24"/>
      <c r="K211" s="24"/>
      <c r="L211" s="24"/>
      <c r="M211" s="24"/>
      <c r="N211" s="34"/>
      <c r="O211" s="34"/>
      <c r="P211" s="34"/>
      <c r="Q211" s="34"/>
      <c r="R211" s="34"/>
      <c r="S211" s="34"/>
      <c r="T211" s="34"/>
      <c r="U211" s="16">
        <f t="shared" si="13"/>
        <v>0</v>
      </c>
      <c r="V211" s="45" t="e">
        <f t="shared" si="14"/>
        <v>#DIV/0!</v>
      </c>
    </row>
    <row r="212" spans="1:22" x14ac:dyDescent="0.2">
      <c r="A212" s="55">
        <v>708102</v>
      </c>
      <c r="B212" s="55" t="s">
        <v>426</v>
      </c>
      <c r="C212" s="23">
        <v>784503</v>
      </c>
      <c r="D212" s="23" t="s">
        <v>211</v>
      </c>
      <c r="E212" s="24"/>
      <c r="F212" s="24"/>
      <c r="G212" s="24"/>
      <c r="H212" s="24"/>
      <c r="I212" s="24"/>
      <c r="J212" s="24">
        <v>155.38</v>
      </c>
      <c r="K212" s="24"/>
      <c r="L212" s="24"/>
      <c r="M212" s="24"/>
      <c r="N212" s="34"/>
      <c r="O212" s="34"/>
      <c r="P212" s="34"/>
      <c r="Q212" s="34"/>
      <c r="R212" s="34"/>
      <c r="S212" s="34"/>
      <c r="T212" s="34"/>
      <c r="U212" s="16">
        <f t="shared" si="13"/>
        <v>0</v>
      </c>
      <c r="V212" s="45" t="e">
        <f t="shared" si="14"/>
        <v>#DIV/0!</v>
      </c>
    </row>
    <row r="213" spans="1:22" x14ac:dyDescent="0.2">
      <c r="A213" s="55">
        <v>708060</v>
      </c>
      <c r="B213" s="55" t="s">
        <v>421</v>
      </c>
      <c r="C213" s="23">
        <v>784505</v>
      </c>
      <c r="D213" s="23" t="s">
        <v>262</v>
      </c>
      <c r="E213" s="24"/>
      <c r="F213" s="24"/>
      <c r="G213" s="24"/>
      <c r="H213" s="24"/>
      <c r="I213" s="24"/>
      <c r="J213" s="24"/>
      <c r="K213" s="24"/>
      <c r="L213" s="24"/>
      <c r="M213" s="24">
        <v>561.29999999999995</v>
      </c>
      <c r="N213" s="34">
        <v>5389.54</v>
      </c>
      <c r="O213" s="34">
        <v>5644.1</v>
      </c>
      <c r="P213" s="34">
        <v>1941.77</v>
      </c>
      <c r="Q213" s="36">
        <v>1686.12</v>
      </c>
      <c r="R213" s="36"/>
      <c r="S213" s="36"/>
      <c r="T213" s="36"/>
      <c r="U213" s="16">
        <f t="shared" si="13"/>
        <v>0</v>
      </c>
      <c r="V213" s="45" t="e">
        <f t="shared" si="14"/>
        <v>#DIV/0!</v>
      </c>
    </row>
    <row r="214" spans="1:22" x14ac:dyDescent="0.2">
      <c r="A214" s="55">
        <v>708021</v>
      </c>
      <c r="B214" s="55" t="s">
        <v>417</v>
      </c>
      <c r="C214" s="1">
        <v>784604</v>
      </c>
      <c r="D214" s="1" t="s">
        <v>174</v>
      </c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16">
        <f t="shared" si="13"/>
        <v>0</v>
      </c>
      <c r="V214" s="45" t="e">
        <f t="shared" si="14"/>
        <v>#DIV/0!</v>
      </c>
    </row>
    <row r="215" spans="1:22" x14ac:dyDescent="0.2">
      <c r="A215" s="55">
        <v>902001</v>
      </c>
      <c r="B215" s="55" t="s">
        <v>460</v>
      </c>
      <c r="C215" s="1">
        <v>961010</v>
      </c>
      <c r="D215" s="1" t="s">
        <v>263</v>
      </c>
      <c r="E215" s="2">
        <v>216281.7</v>
      </c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16">
        <f t="shared" si="13"/>
        <v>0</v>
      </c>
      <c r="V215" s="45" t="e">
        <f t="shared" si="14"/>
        <v>#DIV/0!</v>
      </c>
    </row>
    <row r="216" spans="1:22" x14ac:dyDescent="0.2">
      <c r="C216" s="3" t="s">
        <v>234</v>
      </c>
      <c r="D216" s="3" t="s">
        <v>235</v>
      </c>
      <c r="E216" s="2"/>
      <c r="F216" s="2"/>
      <c r="G216" s="2"/>
      <c r="H216" s="2"/>
      <c r="I216" s="2">
        <v>4749.3599999999997</v>
      </c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16">
        <f t="shared" ref="U216" si="15">T216-S216</f>
        <v>0</v>
      </c>
      <c r="V216" s="45" t="e">
        <f t="shared" ref="V216" si="16">U216/S216</f>
        <v>#DIV/0!</v>
      </c>
    </row>
    <row r="217" spans="1:22" x14ac:dyDescent="0.2">
      <c r="D217" s="5" t="s">
        <v>233</v>
      </c>
      <c r="E217" s="11">
        <f t="shared" ref="E217:U217" si="17">SUM(E88:E216)</f>
        <v>808680.19000000018</v>
      </c>
      <c r="F217" s="11">
        <f t="shared" si="17"/>
        <v>589624.35999999987</v>
      </c>
      <c r="G217" s="11">
        <f t="shared" si="17"/>
        <v>641313.36000000022</v>
      </c>
      <c r="H217" s="11">
        <f t="shared" si="17"/>
        <v>407919.31</v>
      </c>
      <c r="I217" s="11">
        <f t="shared" si="17"/>
        <v>467153.2900000001</v>
      </c>
      <c r="J217" s="11">
        <f t="shared" si="17"/>
        <v>944835.98999999987</v>
      </c>
      <c r="K217" s="11">
        <f t="shared" si="17"/>
        <v>969962.72</v>
      </c>
      <c r="L217" s="11">
        <f t="shared" si="17"/>
        <v>1011817.86</v>
      </c>
      <c r="M217" s="11">
        <f t="shared" si="17"/>
        <v>679180.06000000017</v>
      </c>
      <c r="N217" s="11">
        <f t="shared" si="17"/>
        <v>744346.45000000007</v>
      </c>
      <c r="O217" s="11">
        <f t="shared" si="17"/>
        <v>835093.22000000009</v>
      </c>
      <c r="P217" s="11">
        <f t="shared" si="17"/>
        <v>679273.93</v>
      </c>
      <c r="Q217" s="11">
        <f t="shared" si="17"/>
        <v>623307.06999999983</v>
      </c>
      <c r="R217" s="11">
        <f t="shared" si="17"/>
        <v>718168.02</v>
      </c>
      <c r="S217" s="11">
        <f t="shared" si="17"/>
        <v>659119.36999999988</v>
      </c>
      <c r="T217" s="11">
        <f t="shared" si="17"/>
        <v>491536.80000000005</v>
      </c>
      <c r="U217" s="20">
        <f t="shared" si="17"/>
        <v>-167582.56999999998</v>
      </c>
      <c r="V217" s="45">
        <f>U217/S217</f>
        <v>-0.25425223051781959</v>
      </c>
    </row>
    <row r="218" spans="1:22" x14ac:dyDescent="0.2"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S218" s="4"/>
      <c r="T218" s="4"/>
      <c r="U218" s="16"/>
      <c r="V218" s="45"/>
    </row>
    <row r="219" spans="1:22" x14ac:dyDescent="0.2">
      <c r="C219" s="3" t="s">
        <v>218</v>
      </c>
      <c r="E219" s="4"/>
      <c r="F219" s="4"/>
      <c r="G219" s="4"/>
      <c r="H219" s="4"/>
      <c r="I219" s="4">
        <v>147197.14000000001</v>
      </c>
      <c r="J219" s="4">
        <v>167337.57</v>
      </c>
      <c r="K219" s="4">
        <v>144931.73000000001</v>
      </c>
      <c r="L219" s="4">
        <v>152637.04999999999</v>
      </c>
      <c r="M219" s="4">
        <v>143932.14000000001</v>
      </c>
      <c r="N219" s="4">
        <f t="shared" ref="N219:T219" si="18">N11</f>
        <v>160213.07999999999</v>
      </c>
      <c r="O219" s="4">
        <f t="shared" si="18"/>
        <v>128374.08</v>
      </c>
      <c r="P219" s="4">
        <f t="shared" si="18"/>
        <v>110712.9</v>
      </c>
      <c r="Q219" s="4">
        <f t="shared" si="18"/>
        <v>186900.47</v>
      </c>
      <c r="R219" s="4">
        <f t="shared" si="18"/>
        <v>220179.28</v>
      </c>
      <c r="S219" s="4">
        <f t="shared" si="18"/>
        <v>137112.93</v>
      </c>
      <c r="T219" s="4">
        <f t="shared" si="18"/>
        <v>122246.7</v>
      </c>
      <c r="U219" s="16">
        <f>T219-S219</f>
        <v>-14866.229999999996</v>
      </c>
      <c r="V219" s="45">
        <f>U219/S219</f>
        <v>-0.10842325373690137</v>
      </c>
    </row>
    <row r="220" spans="1:22" x14ac:dyDescent="0.2"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S220" s="4"/>
      <c r="T220" s="4"/>
      <c r="U220" s="16"/>
      <c r="V220" s="45"/>
    </row>
    <row r="221" spans="1:22" x14ac:dyDescent="0.2">
      <c r="C221" s="3" t="s">
        <v>219</v>
      </c>
      <c r="E221" s="4"/>
      <c r="F221" s="4"/>
      <c r="G221" s="4"/>
      <c r="H221" s="4"/>
      <c r="I221" s="4">
        <v>86516.88</v>
      </c>
      <c r="J221" s="4">
        <v>92568.46</v>
      </c>
      <c r="K221" s="4">
        <v>100217.97</v>
      </c>
      <c r="L221" s="4">
        <v>99195.17</v>
      </c>
      <c r="M221" s="4">
        <v>103500.98</v>
      </c>
      <c r="N221" s="4">
        <f t="shared" ref="N221:T221" si="19">N12</f>
        <v>110391.76</v>
      </c>
      <c r="O221" s="4">
        <f t="shared" si="19"/>
        <v>126766.12</v>
      </c>
      <c r="P221" s="4">
        <f t="shared" si="19"/>
        <v>105149.26</v>
      </c>
      <c r="Q221" s="4">
        <f t="shared" si="19"/>
        <v>129739.55</v>
      </c>
      <c r="R221" s="4">
        <f t="shared" si="19"/>
        <v>123137.57</v>
      </c>
      <c r="S221" s="4">
        <f t="shared" si="19"/>
        <v>123459.91</v>
      </c>
      <c r="T221" s="4">
        <f t="shared" si="19"/>
        <v>97314.12</v>
      </c>
      <c r="U221" s="16">
        <f>T221-S221</f>
        <v>-26145.790000000008</v>
      </c>
      <c r="V221" s="45">
        <f>U221/S221</f>
        <v>-0.21177554722014627</v>
      </c>
    </row>
    <row r="222" spans="1:22" x14ac:dyDescent="0.2"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S222" s="4"/>
      <c r="T222" s="4"/>
      <c r="U222" s="16"/>
      <c r="V222" s="45"/>
    </row>
    <row r="223" spans="1:22" ht="13.5" thickBot="1" x14ac:dyDescent="0.25">
      <c r="D223" s="14" t="s">
        <v>2</v>
      </c>
      <c r="E223" s="10">
        <f t="shared" ref="E223:U223" si="20">E87+E217+SUM(E218:E222)</f>
        <v>1571414.9100000001</v>
      </c>
      <c r="F223" s="10">
        <f t="shared" si="20"/>
        <v>1326972.48</v>
      </c>
      <c r="G223" s="10">
        <f t="shared" si="20"/>
        <v>1214496.9400000004</v>
      </c>
      <c r="H223" s="10">
        <f t="shared" si="20"/>
        <v>989813.48</v>
      </c>
      <c r="I223" s="10">
        <f t="shared" si="20"/>
        <v>1424884.6700000002</v>
      </c>
      <c r="J223" s="10">
        <f t="shared" si="20"/>
        <v>2006941.5999999999</v>
      </c>
      <c r="K223" s="10">
        <f t="shared" si="20"/>
        <v>2102574.1</v>
      </c>
      <c r="L223" s="10">
        <f t="shared" si="20"/>
        <v>2142947.88</v>
      </c>
      <c r="M223" s="10">
        <f t="shared" si="20"/>
        <v>1831490.6200000006</v>
      </c>
      <c r="N223" s="10">
        <f t="shared" si="20"/>
        <v>2066921.67</v>
      </c>
      <c r="O223" s="10">
        <f t="shared" si="20"/>
        <v>2246330.7300000004</v>
      </c>
      <c r="P223" s="10">
        <f t="shared" si="20"/>
        <v>1828303.0799999998</v>
      </c>
      <c r="Q223" s="10">
        <f t="shared" si="20"/>
        <v>2140426.83</v>
      </c>
      <c r="R223" s="10">
        <f t="shared" si="20"/>
        <v>2247116.25</v>
      </c>
      <c r="S223" s="10">
        <f t="shared" si="20"/>
        <v>2199296.5099999998</v>
      </c>
      <c r="T223" s="10">
        <f t="shared" si="20"/>
        <v>1783768.69</v>
      </c>
      <c r="U223" s="21">
        <f t="shared" si="20"/>
        <v>-415527.82000000007</v>
      </c>
      <c r="V223" s="45">
        <f>U223/S223</f>
        <v>-0.1889366977625041</v>
      </c>
    </row>
    <row r="224" spans="1:22" ht="13.5" thickTop="1" x14ac:dyDescent="0.2"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S224" s="4"/>
      <c r="T224" s="4"/>
    </row>
    <row r="225" spans="3:20" x14ac:dyDescent="0.2">
      <c r="C225" s="3" t="s">
        <v>220</v>
      </c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S225" s="4"/>
      <c r="T225" s="4"/>
    </row>
    <row r="226" spans="3:20" x14ac:dyDescent="0.2">
      <c r="C226" s="3" t="s">
        <v>221</v>
      </c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S226" s="4"/>
      <c r="T226" s="4"/>
    </row>
    <row r="227" spans="3:20" x14ac:dyDescent="0.2"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S227" s="4"/>
      <c r="T227" s="4"/>
    </row>
    <row r="228" spans="3:20" x14ac:dyDescent="0.2"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S228" s="4"/>
      <c r="T228" s="4"/>
    </row>
    <row r="229" spans="3:20" x14ac:dyDescent="0.2">
      <c r="C229" s="12" t="s">
        <v>482</v>
      </c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S229" s="4"/>
      <c r="T229" s="4"/>
    </row>
  </sheetData>
  <phoneticPr fontId="10" type="noConversion"/>
  <pageMargins left="0" right="0" top="0" bottom="0.5" header="0" footer="0"/>
  <pageSetup paperSize="5" scale="69" fitToHeight="20" orientation="landscape" r:id="rId1"/>
  <headerFooter>
    <oddFooter>&amp;R&amp;8Page &amp;P of &amp;N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V242"/>
  <sheetViews>
    <sheetView zoomScaleNormal="100" workbookViewId="0">
      <pane xSplit="4" ySplit="7" topLeftCell="R209" activePane="bottomRight" state="frozen"/>
      <selection pane="topRight" activeCell="C1" sqref="C1"/>
      <selection pane="bottomLeft" activeCell="A8" sqref="A8"/>
      <selection pane="bottomRight" activeCell="V225" sqref="V225"/>
    </sheetView>
  </sheetViews>
  <sheetFormatPr defaultColWidth="9.140625" defaultRowHeight="12.75" x14ac:dyDescent="0.2"/>
  <cols>
    <col min="1" max="1" width="9.140625" style="3"/>
    <col min="2" max="2" width="36.85546875" style="3" bestFit="1" customWidth="1"/>
    <col min="3" max="3" width="8.85546875" style="3" customWidth="1"/>
    <col min="4" max="4" width="23" style="3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14.4257812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241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2229714.4</v>
      </c>
      <c r="F9" s="4">
        <v>2516289.2200000002</v>
      </c>
      <c r="G9" s="4">
        <v>3705076.27</v>
      </c>
      <c r="H9" s="4">
        <v>4215456.83</v>
      </c>
      <c r="I9" s="4">
        <v>3879036.11</v>
      </c>
      <c r="J9" s="4">
        <v>4073893.08</v>
      </c>
      <c r="K9" s="4">
        <v>4794356.08</v>
      </c>
      <c r="L9" s="4">
        <v>4562080.42</v>
      </c>
      <c r="M9" s="4">
        <v>4039047.13</v>
      </c>
      <c r="N9" s="4">
        <v>4399753.9000000004</v>
      </c>
      <c r="O9" s="4">
        <v>4675263.3499999996</v>
      </c>
      <c r="P9" s="4">
        <f>2727647.81+1384239.53</f>
        <v>4111887.34</v>
      </c>
      <c r="Q9" s="4">
        <f>2235991.13+1283814.93</f>
        <v>3519806.0599999996</v>
      </c>
      <c r="R9" s="4">
        <f>2213330.93+1248860.35</f>
        <v>3462191.2800000003</v>
      </c>
      <c r="S9" s="4">
        <f>1762246.27+890588.99</f>
        <v>2652835.2599999998</v>
      </c>
      <c r="T9" s="4">
        <f>1752057.48+913523.44</f>
        <v>2665580.92</v>
      </c>
      <c r="U9" s="16">
        <f>T9-S9</f>
        <v>12745.660000000149</v>
      </c>
      <c r="V9" s="45">
        <f>U9/S9</f>
        <v>4.804542593421406E-3</v>
      </c>
    </row>
    <row r="10" spans="1:22" x14ac:dyDescent="0.2">
      <c r="C10" s="3" t="s">
        <v>1</v>
      </c>
      <c r="E10" s="4">
        <v>2593676.7999999998</v>
      </c>
      <c r="F10" s="4">
        <v>2603529.48</v>
      </c>
      <c r="G10" s="4">
        <v>3516592.57</v>
      </c>
      <c r="H10" s="4">
        <v>3846164.84</v>
      </c>
      <c r="I10" s="4">
        <v>3300713.4</v>
      </c>
      <c r="J10" s="4">
        <v>3614639.38</v>
      </c>
      <c r="K10" s="4">
        <v>3412913.42</v>
      </c>
      <c r="L10" s="4">
        <v>3653031.18</v>
      </c>
      <c r="M10" s="4">
        <v>3891762.72</v>
      </c>
      <c r="N10" s="4">
        <f>3633145.99+7.57</f>
        <v>3633153.56</v>
      </c>
      <c r="O10" s="4">
        <f>3112780.74+13.77</f>
        <v>3112794.5100000002</v>
      </c>
      <c r="P10" s="4">
        <f>2305100.76+28.35</f>
        <v>2305129.11</v>
      </c>
      <c r="Q10" s="4">
        <f>2473563.74+57.13</f>
        <v>2473620.87</v>
      </c>
      <c r="R10" s="4">
        <v>2293831.92</v>
      </c>
      <c r="S10" s="4">
        <v>1531507.01</v>
      </c>
      <c r="T10" s="4">
        <f>585422.33</f>
        <v>585422.32999999996</v>
      </c>
      <c r="U10" s="16">
        <f t="shared" ref="U10:U12" si="0">T10-S10</f>
        <v>-946084.68</v>
      </c>
      <c r="V10" s="45">
        <f t="shared" ref="V10:V12" si="1">U10/S10</f>
        <v>-0.61774753482845635</v>
      </c>
    </row>
    <row r="11" spans="1:22" x14ac:dyDescent="0.2">
      <c r="C11" s="3" t="s">
        <v>218</v>
      </c>
      <c r="E11" s="4"/>
      <c r="F11" s="4"/>
      <c r="G11" s="4"/>
      <c r="H11" s="4"/>
      <c r="I11" s="4">
        <v>789511.92</v>
      </c>
      <c r="J11" s="4">
        <v>849826.62</v>
      </c>
      <c r="K11" s="4">
        <v>782968</v>
      </c>
      <c r="L11" s="4">
        <v>791930.2</v>
      </c>
      <c r="M11" s="4">
        <v>640173.04</v>
      </c>
      <c r="N11" s="4">
        <v>668977.55000000005</v>
      </c>
      <c r="O11" s="4">
        <v>519145.41</v>
      </c>
      <c r="P11" s="4">
        <v>487842.99</v>
      </c>
      <c r="Q11" s="4">
        <f>547992.08</f>
        <v>547992.07999999996</v>
      </c>
      <c r="R11" s="4">
        <v>642950.92000000004</v>
      </c>
      <c r="S11" s="4">
        <v>284258.2</v>
      </c>
      <c r="T11" s="4">
        <f>303782.3</f>
        <v>303782.3</v>
      </c>
      <c r="U11" s="16">
        <f t="shared" si="0"/>
        <v>19524.099999999977</v>
      </c>
      <c r="V11" s="45">
        <f t="shared" si="1"/>
        <v>6.8684386237582509E-2</v>
      </c>
    </row>
    <row r="12" spans="1:22" x14ac:dyDescent="0.2">
      <c r="C12" s="3" t="s">
        <v>219</v>
      </c>
      <c r="E12" s="4"/>
      <c r="F12" s="4"/>
      <c r="G12" s="4"/>
      <c r="H12" s="4"/>
      <c r="I12" s="4">
        <v>464045.09</v>
      </c>
      <c r="J12" s="4">
        <v>470110.43</v>
      </c>
      <c r="K12" s="4">
        <v>541409.84</v>
      </c>
      <c r="L12" s="4">
        <v>514656.51</v>
      </c>
      <c r="M12" s="4">
        <v>460345.64</v>
      </c>
      <c r="N12" s="4">
        <v>460946.22</v>
      </c>
      <c r="O12" s="4">
        <v>512642.85</v>
      </c>
      <c r="P12" s="4">
        <v>463327.48</v>
      </c>
      <c r="Q12" s="4">
        <f>380396.3</f>
        <v>380396.3</v>
      </c>
      <c r="R12" s="4">
        <v>359577.03</v>
      </c>
      <c r="S12" s="4">
        <v>255953.18</v>
      </c>
      <c r="T12" s="4">
        <f>241824.98</f>
        <v>241824.98</v>
      </c>
      <c r="U12" s="16">
        <f t="shared" si="0"/>
        <v>-14128.199999999983</v>
      </c>
      <c r="V12" s="45">
        <f t="shared" si="1"/>
        <v>-5.519837651557985E-2</v>
      </c>
    </row>
    <row r="13" spans="1:22" ht="13.5" thickBot="1" x14ac:dyDescent="0.25">
      <c r="C13" s="3" t="s">
        <v>2</v>
      </c>
      <c r="E13" s="10">
        <f t="shared" ref="E13:U13" si="2">SUM(E9:E12)</f>
        <v>4823391.1999999993</v>
      </c>
      <c r="F13" s="10">
        <f t="shared" si="2"/>
        <v>5119818.7</v>
      </c>
      <c r="G13" s="10">
        <f t="shared" si="2"/>
        <v>7221668.8399999999</v>
      </c>
      <c r="H13" s="10">
        <f t="shared" si="2"/>
        <v>8061621.6699999999</v>
      </c>
      <c r="I13" s="10">
        <f t="shared" si="2"/>
        <v>8433306.5199999996</v>
      </c>
      <c r="J13" s="10">
        <f t="shared" si="2"/>
        <v>9008469.5099999998</v>
      </c>
      <c r="K13" s="10">
        <f t="shared" si="2"/>
        <v>9531647.3399999999</v>
      </c>
      <c r="L13" s="10">
        <f t="shared" si="2"/>
        <v>9521698.3099999987</v>
      </c>
      <c r="M13" s="10">
        <f t="shared" si="2"/>
        <v>9031328.5300000012</v>
      </c>
      <c r="N13" s="10">
        <f t="shared" si="2"/>
        <v>9162831.2300000023</v>
      </c>
      <c r="O13" s="10">
        <f t="shared" si="2"/>
        <v>8819846.1199999992</v>
      </c>
      <c r="P13" s="10">
        <f t="shared" si="2"/>
        <v>7368186.9199999999</v>
      </c>
      <c r="Q13" s="10">
        <f t="shared" si="2"/>
        <v>6921815.3099999996</v>
      </c>
      <c r="R13" s="10">
        <f t="shared" si="2"/>
        <v>6758551.1500000004</v>
      </c>
      <c r="S13" s="10">
        <f t="shared" si="2"/>
        <v>4724553.6499999994</v>
      </c>
      <c r="T13" s="10">
        <f t="shared" si="2"/>
        <v>3796610.53</v>
      </c>
      <c r="U13" s="21">
        <f t="shared" si="2"/>
        <v>-927943.11999999988</v>
      </c>
      <c r="V13" s="45">
        <f>U13/R13</f>
        <v>-0.13729911920545276</v>
      </c>
    </row>
    <row r="14" spans="1:22" ht="13.5" thickTop="1" x14ac:dyDescent="0.2">
      <c r="U14" s="16"/>
    </row>
    <row r="15" spans="1:22" x14ac:dyDescent="0.2">
      <c r="C15" s="8" t="s">
        <v>240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2">
        <v>359990.38</v>
      </c>
      <c r="F18" s="22">
        <v>387608.47</v>
      </c>
      <c r="G18" s="22">
        <v>530051.72000000009</v>
      </c>
      <c r="H18" s="22">
        <v>614474.09</v>
      </c>
      <c r="I18" s="22">
        <v>461484.84999999992</v>
      </c>
      <c r="J18" s="22">
        <v>575938.57999999996</v>
      </c>
      <c r="K18" s="22">
        <v>754454.82</v>
      </c>
      <c r="L18" s="22">
        <v>849054.30000000016</v>
      </c>
      <c r="M18" s="22">
        <v>833629.06999999983</v>
      </c>
      <c r="N18" s="42">
        <v>1069898.93</v>
      </c>
      <c r="O18" s="42">
        <f>1305167.57+125069.3</f>
        <v>1430236.87</v>
      </c>
      <c r="P18" s="42">
        <f>1269990.64+101143.61</f>
        <v>1371134.25</v>
      </c>
      <c r="Q18" s="51">
        <f>1102729.28+85465.15</f>
        <v>1188194.43</v>
      </c>
      <c r="R18" s="39">
        <f>1004314.58+157831.41</f>
        <v>1162145.99</v>
      </c>
      <c r="S18" s="41">
        <f>688385.78+134045.76</f>
        <v>822431.54</v>
      </c>
      <c r="T18" s="41">
        <f>742212.67+133766.66</f>
        <v>875979.33000000007</v>
      </c>
      <c r="U18" s="16">
        <f>T18-S18</f>
        <v>53547.790000000037</v>
      </c>
      <c r="V18" s="45">
        <f>U18/S18</f>
        <v>6.5109115343509369E-2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2">
        <v>-14245</v>
      </c>
      <c r="F19" s="22">
        <v>0</v>
      </c>
      <c r="G19" s="22">
        <v>0</v>
      </c>
      <c r="H19" s="22">
        <v>5583.06</v>
      </c>
      <c r="I19" s="22"/>
      <c r="J19" s="22"/>
      <c r="K19" s="22"/>
      <c r="L19" s="22">
        <v>-6136</v>
      </c>
      <c r="M19" s="22">
        <v>-5236</v>
      </c>
      <c r="N19" s="42">
        <v>-3615.630000000001</v>
      </c>
      <c r="O19" s="42">
        <v>276</v>
      </c>
      <c r="P19" s="42"/>
      <c r="Q19" s="42"/>
      <c r="R19" s="42"/>
      <c r="S19" s="42"/>
      <c r="T19" s="42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2"/>
      <c r="F20" s="22"/>
      <c r="G20" s="22"/>
      <c r="H20" s="22"/>
      <c r="I20" s="22"/>
      <c r="J20" s="22"/>
      <c r="K20" s="22">
        <v>6105</v>
      </c>
      <c r="L20" s="22">
        <v>16568.75</v>
      </c>
      <c r="M20" s="22"/>
      <c r="N20" s="42"/>
      <c r="O20" s="47">
        <f>115.71</f>
        <v>115.71</v>
      </c>
      <c r="P20" s="47"/>
      <c r="Q20" s="42"/>
      <c r="R20" s="42"/>
      <c r="S20" s="42"/>
      <c r="T20" s="42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2">
        <v>7410</v>
      </c>
      <c r="F21" s="22">
        <v>7595.26</v>
      </c>
      <c r="G21" s="22">
        <v>7785</v>
      </c>
      <c r="H21" s="22"/>
      <c r="I21" s="22">
        <v>8274</v>
      </c>
      <c r="J21" s="22">
        <v>7750</v>
      </c>
      <c r="K21" s="22"/>
      <c r="L21" s="22"/>
      <c r="M21" s="22"/>
      <c r="N21" s="43"/>
      <c r="O21" s="47"/>
      <c r="P21" s="47"/>
      <c r="Q21" s="42"/>
      <c r="R21" s="42"/>
      <c r="S21" s="42"/>
      <c r="T21" s="42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>
        <v>590861.77</v>
      </c>
      <c r="F22" s="22">
        <v>694476.84000000008</v>
      </c>
      <c r="G22" s="22">
        <v>1188879.57</v>
      </c>
      <c r="H22" s="22">
        <v>1346791.7799999998</v>
      </c>
      <c r="I22" s="22">
        <v>1279109.3800000004</v>
      </c>
      <c r="J22" s="22">
        <v>1314224.8599999999</v>
      </c>
      <c r="K22" s="22">
        <v>1370755.24</v>
      </c>
      <c r="L22" s="22">
        <v>981297.13999999978</v>
      </c>
      <c r="M22" s="22">
        <v>642894.61</v>
      </c>
      <c r="N22" s="42">
        <v>463387.23000000004</v>
      </c>
      <c r="O22" s="42">
        <f>295752.85+18208.35</f>
        <v>313961.19999999995</v>
      </c>
      <c r="P22" s="42">
        <f>163134+17097.57</f>
        <v>180231.57</v>
      </c>
      <c r="Q22" s="51">
        <f>127489.5+14081.74</f>
        <v>141571.24</v>
      </c>
      <c r="R22" s="51"/>
      <c r="S22" s="51"/>
      <c r="T22" s="51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2">
        <v>817.51</v>
      </c>
      <c r="F23" s="22">
        <v>13030.14</v>
      </c>
      <c r="G23" s="22">
        <v>19458.32</v>
      </c>
      <c r="H23" s="22">
        <v>27052.100000000002</v>
      </c>
      <c r="I23" s="22">
        <v>32087.940000000002</v>
      </c>
      <c r="J23" s="22">
        <v>33316.86</v>
      </c>
      <c r="K23" s="22">
        <v>33709.08</v>
      </c>
      <c r="L23" s="22">
        <v>33709.08</v>
      </c>
      <c r="M23" s="22">
        <v>36256.1</v>
      </c>
      <c r="N23" s="42">
        <v>36196.32</v>
      </c>
      <c r="O23" s="47">
        <f>769.63</f>
        <v>769.63</v>
      </c>
      <c r="P23" s="47">
        <f>740.97</f>
        <v>740.97</v>
      </c>
      <c r="Q23" s="42">
        <f>509.34</f>
        <v>509.34</v>
      </c>
      <c r="R23" s="42"/>
      <c r="S23" s="42"/>
      <c r="T23" s="42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2"/>
      <c r="F24" s="22"/>
      <c r="G24" s="22"/>
      <c r="H24" s="22"/>
      <c r="I24" s="22"/>
      <c r="J24" s="22"/>
      <c r="K24" s="22">
        <v>6481.38</v>
      </c>
      <c r="L24" s="22">
        <v>7692.9000000000005</v>
      </c>
      <c r="M24" s="22">
        <v>17784.27</v>
      </c>
      <c r="N24" s="22"/>
      <c r="O24" s="47"/>
      <c r="P24" s="47"/>
      <c r="Q24" s="42"/>
      <c r="R24" s="42"/>
      <c r="S24" s="42"/>
      <c r="T24" s="4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2"/>
      <c r="F25" s="22"/>
      <c r="G25" s="22"/>
      <c r="H25" s="22"/>
      <c r="I25" s="22"/>
      <c r="J25" s="22"/>
      <c r="K25" s="22"/>
      <c r="L25" s="22"/>
      <c r="M25" s="22"/>
      <c r="N25" s="22"/>
      <c r="O25" s="42">
        <f>888.37+27.11</f>
        <v>915.48</v>
      </c>
      <c r="P25" s="42">
        <f>3890.82+266.82</f>
        <v>4157.6400000000003</v>
      </c>
      <c r="Q25" s="42">
        <f>3.34</f>
        <v>3.34</v>
      </c>
      <c r="R25" s="42"/>
      <c r="S25" s="42"/>
      <c r="T25" s="42"/>
      <c r="U25" s="16"/>
      <c r="V25" s="45"/>
    </row>
    <row r="26" spans="1:22" x14ac:dyDescent="0.2">
      <c r="C26" s="1"/>
      <c r="D26" s="5" t="s">
        <v>229</v>
      </c>
      <c r="E26" s="6">
        <f t="shared" ref="E26:U26" si="3">SUM(E18:E25)</f>
        <v>944834.66</v>
      </c>
      <c r="F26" s="6">
        <f t="shared" si="3"/>
        <v>1102710.71</v>
      </c>
      <c r="G26" s="6">
        <f t="shared" si="3"/>
        <v>1746174.61</v>
      </c>
      <c r="H26" s="6">
        <f t="shared" si="3"/>
        <v>1993901.0299999998</v>
      </c>
      <c r="I26" s="6">
        <f t="shared" si="3"/>
        <v>1780956.1700000002</v>
      </c>
      <c r="J26" s="6">
        <f t="shared" si="3"/>
        <v>1931230.3</v>
      </c>
      <c r="K26" s="6">
        <f t="shared" si="3"/>
        <v>2171505.52</v>
      </c>
      <c r="L26" s="6">
        <f t="shared" si="3"/>
        <v>1882186.17</v>
      </c>
      <c r="M26" s="6">
        <f t="shared" si="3"/>
        <v>1525328.0499999998</v>
      </c>
      <c r="N26" s="6">
        <f t="shared" si="3"/>
        <v>1565866.85</v>
      </c>
      <c r="O26" s="6">
        <f t="shared" si="3"/>
        <v>1746274.89</v>
      </c>
      <c r="P26" s="6">
        <f t="shared" si="3"/>
        <v>1556264.43</v>
      </c>
      <c r="Q26" s="6">
        <f t="shared" si="3"/>
        <v>1330278.3500000001</v>
      </c>
      <c r="R26" s="6">
        <f t="shared" si="3"/>
        <v>1162145.99</v>
      </c>
      <c r="S26" s="6">
        <f t="shared" si="3"/>
        <v>822431.54</v>
      </c>
      <c r="T26" s="6">
        <f t="shared" si="3"/>
        <v>875979.33000000007</v>
      </c>
      <c r="U26" s="17">
        <f t="shared" si="3"/>
        <v>53547.790000000037</v>
      </c>
      <c r="V26" s="45">
        <f t="shared" ref="V26" si="4">U26/S26</f>
        <v>6.5109115343509369E-2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2"/>
      <c r="F27" s="22">
        <v>1306.03</v>
      </c>
      <c r="G27" s="22">
        <v>524.01</v>
      </c>
      <c r="H27" s="22">
        <v>-1277.8</v>
      </c>
      <c r="I27" s="22">
        <v>883.58</v>
      </c>
      <c r="J27" s="22">
        <v>-500.19</v>
      </c>
      <c r="K27" s="22">
        <v>-253.05</v>
      </c>
      <c r="L27" s="22">
        <v>887.2</v>
      </c>
      <c r="M27" s="22">
        <v>-1199.51</v>
      </c>
      <c r="N27" s="42">
        <v>870.61</v>
      </c>
      <c r="O27" s="48">
        <f>2.27+13.15</f>
        <v>15.42</v>
      </c>
      <c r="P27" s="48">
        <f>5660.73+851.23</f>
        <v>6511.9599999999991</v>
      </c>
      <c r="Q27" s="42">
        <f>-6330.9+431.82</f>
        <v>-5899.08</v>
      </c>
      <c r="R27" s="39">
        <f>-230.79+(-1167.83)</f>
        <v>-1398.62</v>
      </c>
      <c r="S27" s="41">
        <f>709.23+247.93</f>
        <v>957.16000000000008</v>
      </c>
      <c r="T27" s="41">
        <f>1077.68+189.15</f>
        <v>1266.8300000000002</v>
      </c>
      <c r="U27" s="16">
        <f t="shared" ref="U27:U69" si="5">T27-S27</f>
        <v>309.67000000000007</v>
      </c>
      <c r="V27" s="45">
        <f t="shared" ref="V27:V70" si="6">U27/S27</f>
        <v>0.32353002632788669</v>
      </c>
    </row>
    <row r="28" spans="1:22" x14ac:dyDescent="0.2">
      <c r="A28" s="3">
        <v>601100</v>
      </c>
      <c r="B28" s="3" t="s">
        <v>318</v>
      </c>
      <c r="C28" s="57">
        <v>611540</v>
      </c>
      <c r="D28" s="57" t="s">
        <v>254</v>
      </c>
      <c r="E28" s="22"/>
      <c r="F28" s="22"/>
      <c r="G28" s="22">
        <v>24452.99</v>
      </c>
      <c r="H28" s="22">
        <v>34748.080000000002</v>
      </c>
      <c r="I28" s="22">
        <v>40410.46</v>
      </c>
      <c r="J28" s="22">
        <v>36092.22</v>
      </c>
      <c r="K28" s="22">
        <v>30696.54</v>
      </c>
      <c r="L28" s="22">
        <v>41012.409999999996</v>
      </c>
      <c r="M28" s="22">
        <v>43898.83</v>
      </c>
      <c r="N28" s="42">
        <v>47614.879999999997</v>
      </c>
      <c r="O28" s="48">
        <v>50905.65</v>
      </c>
      <c r="P28" s="48">
        <v>488.85</v>
      </c>
      <c r="Q28" s="42"/>
      <c r="R28" s="42"/>
      <c r="S28" s="41">
        <f>23877.5+563.03</f>
        <v>24440.53</v>
      </c>
      <c r="T28" s="41">
        <f>30201.7+180.29</f>
        <v>30381.99</v>
      </c>
      <c r="U28" s="16">
        <f t="shared" si="5"/>
        <v>5941.4600000000028</v>
      </c>
      <c r="V28" s="45">
        <f t="shared" si="6"/>
        <v>0.24309865620753737</v>
      </c>
    </row>
    <row r="29" spans="1:22" x14ac:dyDescent="0.2">
      <c r="A29" s="3">
        <v>601302</v>
      </c>
      <c r="B29" s="3" t="s">
        <v>320</v>
      </c>
      <c r="C29" s="1">
        <v>612110</v>
      </c>
      <c r="D29" s="1" t="s">
        <v>19</v>
      </c>
      <c r="E29" s="22">
        <v>165025.04999999999</v>
      </c>
      <c r="F29" s="22">
        <v>214712.31</v>
      </c>
      <c r="G29" s="22">
        <v>283918.15000000002</v>
      </c>
      <c r="H29" s="22">
        <v>326395.92000000004</v>
      </c>
      <c r="I29" s="22">
        <v>263759.90999999997</v>
      </c>
      <c r="J29" s="22">
        <v>349574.09</v>
      </c>
      <c r="K29" s="22">
        <v>368116.66000000003</v>
      </c>
      <c r="L29" s="22">
        <v>406521.24</v>
      </c>
      <c r="M29" s="22">
        <v>433318.76999999996</v>
      </c>
      <c r="N29" s="42">
        <v>398700.76000000007</v>
      </c>
      <c r="O29" s="48">
        <v>350107.74</v>
      </c>
      <c r="P29" s="48">
        <v>139283.86000000002</v>
      </c>
      <c r="Q29" s="51">
        <v>112607.13</v>
      </c>
      <c r="R29" s="39">
        <v>129380.79000000001</v>
      </c>
      <c r="S29" s="41">
        <v>190912.33999999997</v>
      </c>
      <c r="T29" s="41">
        <f>219075.18</f>
        <v>219075.18</v>
      </c>
      <c r="U29" s="16">
        <f t="shared" si="5"/>
        <v>28162.840000000026</v>
      </c>
      <c r="V29" s="45">
        <f t="shared" si="6"/>
        <v>0.1475171274942208</v>
      </c>
    </row>
    <row r="30" spans="1:22" x14ac:dyDescent="0.2">
      <c r="A30" s="3">
        <v>601300</v>
      </c>
      <c r="B30" s="3" t="s">
        <v>319</v>
      </c>
      <c r="C30" s="1">
        <v>612130</v>
      </c>
      <c r="D30" s="1" t="s">
        <v>20</v>
      </c>
      <c r="E30" s="22">
        <v>258268.3</v>
      </c>
      <c r="F30" s="22">
        <v>230283.68000000002</v>
      </c>
      <c r="G30" s="22">
        <v>277048.91000000003</v>
      </c>
      <c r="H30" s="22">
        <v>307388.54999999993</v>
      </c>
      <c r="I30" s="22">
        <v>224608.19</v>
      </c>
      <c r="J30" s="22">
        <v>261605.96999999997</v>
      </c>
      <c r="K30" s="22">
        <v>244228.33000000002</v>
      </c>
      <c r="L30" s="22">
        <v>289186.14</v>
      </c>
      <c r="M30" s="22">
        <v>295987.60000000003</v>
      </c>
      <c r="N30" s="42">
        <v>453703.91</v>
      </c>
      <c r="O30" s="48">
        <f>446268+171.99</f>
        <v>446439.99</v>
      </c>
      <c r="P30" s="48">
        <f>462389.19+456.99</f>
        <v>462846.18</v>
      </c>
      <c r="Q30" s="51">
        <f>443337.02+642.21</f>
        <v>443979.23000000004</v>
      </c>
      <c r="R30" s="39">
        <f>548876.87+571.87</f>
        <v>549448.74</v>
      </c>
      <c r="S30" s="41">
        <f>365845.08+107.01</f>
        <v>365952.09</v>
      </c>
      <c r="T30" s="41">
        <f>275650.38</f>
        <v>275650.38</v>
      </c>
      <c r="U30" s="16">
        <f t="shared" si="5"/>
        <v>-90301.710000000021</v>
      </c>
      <c r="V30" s="45">
        <f t="shared" si="6"/>
        <v>-0.24675828467054256</v>
      </c>
    </row>
    <row r="31" spans="1:22" x14ac:dyDescent="0.2">
      <c r="A31" s="3">
        <v>601203</v>
      </c>
      <c r="B31" s="3" t="s">
        <v>428</v>
      </c>
      <c r="C31" s="57">
        <v>612200</v>
      </c>
      <c r="D31" s="57" t="s">
        <v>264</v>
      </c>
      <c r="E31" s="22"/>
      <c r="F31" s="22"/>
      <c r="G31" s="22"/>
      <c r="H31" s="22"/>
      <c r="I31" s="22"/>
      <c r="J31" s="22"/>
      <c r="K31" s="22"/>
      <c r="L31" s="22"/>
      <c r="M31" s="22">
        <v>12835.1</v>
      </c>
      <c r="N31" s="22"/>
      <c r="O31" s="22"/>
      <c r="P31" s="22"/>
      <c r="Q31" s="22"/>
      <c r="R31" s="22"/>
      <c r="S31" s="22"/>
      <c r="T31" s="22"/>
      <c r="U31" s="16">
        <f t="shared" si="5"/>
        <v>0</v>
      </c>
      <c r="V31" s="45" t="e">
        <f t="shared" si="6"/>
        <v>#DIV/0!</v>
      </c>
    </row>
    <row r="32" spans="1:22" x14ac:dyDescent="0.2">
      <c r="A32" s="3">
        <v>601100</v>
      </c>
      <c r="B32" s="3" t="s">
        <v>318</v>
      </c>
      <c r="C32" s="1">
        <v>612205</v>
      </c>
      <c r="D32" s="1" t="s">
        <v>21</v>
      </c>
      <c r="E32" s="22"/>
      <c r="F32" s="22"/>
      <c r="G32" s="22">
        <v>25967.3</v>
      </c>
      <c r="H32" s="22">
        <v>34748.080000000002</v>
      </c>
      <c r="I32" s="22">
        <v>34572.5</v>
      </c>
      <c r="J32" s="22">
        <v>75982.01999999999</v>
      </c>
      <c r="K32" s="22">
        <v>36689.64</v>
      </c>
      <c r="L32" s="22">
        <v>36410.410000000003</v>
      </c>
      <c r="M32" s="22">
        <v>38094.44</v>
      </c>
      <c r="N32" s="42">
        <v>40574.560000000005</v>
      </c>
      <c r="O32" s="48">
        <f>43135.33+327.08</f>
        <v>43462.41</v>
      </c>
      <c r="P32" s="48">
        <f>40902.68+269.21</f>
        <v>41171.89</v>
      </c>
      <c r="Q32" s="48">
        <f>244.05</f>
        <v>244.05</v>
      </c>
      <c r="R32" s="48">
        <v>252.67</v>
      </c>
      <c r="S32" s="48"/>
      <c r="T32" s="48"/>
      <c r="U32" s="16">
        <f t="shared" si="5"/>
        <v>0</v>
      </c>
      <c r="V32" s="45" t="e">
        <f t="shared" si="6"/>
        <v>#DIV/0!</v>
      </c>
    </row>
    <row r="33" spans="1:22" x14ac:dyDescent="0.2">
      <c r="A33" s="3">
        <v>601307</v>
      </c>
      <c r="B33" s="3" t="s">
        <v>430</v>
      </c>
      <c r="C33" s="57">
        <v>612215</v>
      </c>
      <c r="D33" s="57" t="s">
        <v>177</v>
      </c>
      <c r="E33" s="22">
        <v>8898</v>
      </c>
      <c r="F33" s="22"/>
      <c r="G33" s="22"/>
      <c r="H33" s="22"/>
      <c r="I33" s="22"/>
      <c r="J33" s="22"/>
      <c r="K33" s="22"/>
      <c r="L33" s="22"/>
      <c r="M33" s="22"/>
      <c r="N33" s="22"/>
      <c r="O33" s="22"/>
      <c r="P33" s="22"/>
      <c r="Q33" s="22"/>
      <c r="R33" s="22"/>
      <c r="S33" s="22"/>
      <c r="T33" s="22"/>
      <c r="U33" s="16">
        <f t="shared" si="5"/>
        <v>0</v>
      </c>
      <c r="V33" s="45" t="e">
        <f t="shared" si="6"/>
        <v>#DIV/0!</v>
      </c>
    </row>
    <row r="34" spans="1:22" x14ac:dyDescent="0.2">
      <c r="A34" s="3">
        <v>601510</v>
      </c>
      <c r="B34" s="3" t="s">
        <v>22</v>
      </c>
      <c r="C34" s="1">
        <v>612220</v>
      </c>
      <c r="D34" s="1" t="s">
        <v>22</v>
      </c>
      <c r="U34" s="16">
        <f t="shared" si="5"/>
        <v>0</v>
      </c>
      <c r="V34" s="45" t="e">
        <f t="shared" si="6"/>
        <v>#DIV/0!</v>
      </c>
    </row>
    <row r="35" spans="1:22" x14ac:dyDescent="0.2">
      <c r="A35" s="3">
        <v>601306</v>
      </c>
      <c r="B35" s="3" t="s">
        <v>324</v>
      </c>
      <c r="C35" s="1">
        <v>612230</v>
      </c>
      <c r="D35" s="1" t="s">
        <v>23</v>
      </c>
      <c r="E35" s="22">
        <v>95221.71</v>
      </c>
      <c r="F35" s="22">
        <v>94020.11</v>
      </c>
      <c r="G35" s="22">
        <v>106019.15</v>
      </c>
      <c r="H35" s="22">
        <v>171515.16</v>
      </c>
      <c r="I35" s="22">
        <v>217282.24</v>
      </c>
      <c r="J35" s="22">
        <v>115981.35</v>
      </c>
      <c r="K35" s="22">
        <v>217147.59000000003</v>
      </c>
      <c r="L35" s="22">
        <v>220889.87000000002</v>
      </c>
      <c r="M35" s="22">
        <v>121934.04999999999</v>
      </c>
      <c r="N35" s="42">
        <v>137124.45000000001</v>
      </c>
      <c r="O35" s="48">
        <f>87396.23+802.61</f>
        <v>88198.84</v>
      </c>
      <c r="P35" s="48">
        <f>90154.1+347.44</f>
        <v>90501.540000000008</v>
      </c>
      <c r="Q35" s="51">
        <f>54069.41+251.82</f>
        <v>54321.23</v>
      </c>
      <c r="R35" s="39">
        <f>129271.66+816.22</f>
        <v>130087.88</v>
      </c>
      <c r="S35" s="41">
        <f>134660.85+896.35</f>
        <v>135557.20000000001</v>
      </c>
      <c r="T35" s="41">
        <f>125819.94+1282.82</f>
        <v>127102.76000000001</v>
      </c>
      <c r="U35" s="16">
        <f t="shared" si="5"/>
        <v>-8454.4400000000023</v>
      </c>
      <c r="V35" s="45">
        <f t="shared" si="6"/>
        <v>-6.2368063075956139E-2</v>
      </c>
    </row>
    <row r="36" spans="1:22" x14ac:dyDescent="0.2">
      <c r="A36" s="3">
        <v>601303</v>
      </c>
      <c r="B36" s="3" t="s">
        <v>321</v>
      </c>
      <c r="C36" s="1">
        <v>612235</v>
      </c>
      <c r="D36" s="1" t="s">
        <v>24</v>
      </c>
      <c r="E36" s="22">
        <v>69591.740000000005</v>
      </c>
      <c r="F36" s="22">
        <v>63533.450000000012</v>
      </c>
      <c r="G36" s="22">
        <v>73715.05</v>
      </c>
      <c r="H36" s="22">
        <v>29908.880000000001</v>
      </c>
      <c r="I36" s="22">
        <v>8415.5</v>
      </c>
      <c r="J36" s="22"/>
      <c r="K36" s="22"/>
      <c r="L36" s="22">
        <v>29152.47</v>
      </c>
      <c r="M36" s="22">
        <v>59945.770000000004</v>
      </c>
      <c r="N36" s="42">
        <v>58762.81</v>
      </c>
      <c r="O36" s="48">
        <v>53172.5</v>
      </c>
      <c r="P36" s="48">
        <v>79512.600000000006</v>
      </c>
      <c r="Q36" s="51">
        <v>68962.200000000012</v>
      </c>
      <c r="R36" s="39">
        <f>41642+1709.63</f>
        <v>43351.63</v>
      </c>
      <c r="S36" s="41">
        <f>42820.4+260.03</f>
        <v>43080.43</v>
      </c>
      <c r="T36" s="41">
        <f>35100+492.29</f>
        <v>35592.29</v>
      </c>
      <c r="U36" s="16">
        <f t="shared" si="5"/>
        <v>-7488.1399999999994</v>
      </c>
      <c r="V36" s="45">
        <f t="shared" si="6"/>
        <v>-0.17381767080783547</v>
      </c>
    </row>
    <row r="37" spans="1:22" x14ac:dyDescent="0.2">
      <c r="A37" s="3">
        <v>601304</v>
      </c>
      <c r="B37" s="3" t="s">
        <v>322</v>
      </c>
      <c r="C37" s="1">
        <v>612300</v>
      </c>
      <c r="D37" s="1" t="s">
        <v>25</v>
      </c>
      <c r="E37" s="22">
        <v>24897.050000000003</v>
      </c>
      <c r="F37" s="22">
        <v>24596.720000000001</v>
      </c>
      <c r="G37" s="22">
        <v>36893.879999999997</v>
      </c>
      <c r="H37" s="22">
        <v>45925.79</v>
      </c>
      <c r="I37" s="22">
        <v>41419.97</v>
      </c>
      <c r="J37" s="22">
        <v>41171.410000000003</v>
      </c>
      <c r="K37" s="22">
        <v>29862.440000000002</v>
      </c>
      <c r="L37" s="22">
        <v>34745.399999999994</v>
      </c>
      <c r="M37" s="22">
        <v>19644.330000000002</v>
      </c>
      <c r="N37" s="42">
        <v>9030</v>
      </c>
      <c r="O37" s="48">
        <v>29700</v>
      </c>
      <c r="P37" s="48">
        <v>19200</v>
      </c>
      <c r="Q37" s="51">
        <v>14999.99</v>
      </c>
      <c r="R37" s="39">
        <v>21900</v>
      </c>
      <c r="S37" s="41">
        <v>4800</v>
      </c>
      <c r="T37" s="41"/>
      <c r="U37" s="16">
        <f t="shared" si="5"/>
        <v>-4800</v>
      </c>
      <c r="V37" s="45">
        <f t="shared" si="6"/>
        <v>-1</v>
      </c>
    </row>
    <row r="38" spans="1:22" x14ac:dyDescent="0.2">
      <c r="A38" s="3">
        <v>601305</v>
      </c>
      <c r="B38" s="3" t="s">
        <v>323</v>
      </c>
      <c r="C38" s="1">
        <v>612305</v>
      </c>
      <c r="D38" s="1" t="s">
        <v>26</v>
      </c>
      <c r="E38" s="22"/>
      <c r="F38" s="22"/>
      <c r="G38" s="22"/>
      <c r="H38" s="22"/>
      <c r="I38" s="22"/>
      <c r="J38" s="22"/>
      <c r="K38" s="22">
        <v>19999.98</v>
      </c>
      <c r="L38" s="22">
        <v>10000</v>
      </c>
      <c r="M38" s="22"/>
      <c r="N38" s="42">
        <v>15666.6</v>
      </c>
      <c r="O38" s="22"/>
      <c r="P38" s="22">
        <v>17195.66</v>
      </c>
      <c r="Q38" s="51">
        <v>19996.63</v>
      </c>
      <c r="R38" s="39">
        <v>9974.32</v>
      </c>
      <c r="S38" s="41">
        <v>20115.400000000001</v>
      </c>
      <c r="T38" s="41">
        <f>217.93</f>
        <v>217.93</v>
      </c>
      <c r="U38" s="16">
        <f t="shared" si="5"/>
        <v>-19897.47</v>
      </c>
      <c r="V38" s="45">
        <f t="shared" si="6"/>
        <v>-0.98916601211012456</v>
      </c>
    </row>
    <row r="39" spans="1:22" x14ac:dyDescent="0.2">
      <c r="A39" s="3">
        <v>601400</v>
      </c>
      <c r="B39" s="3" t="s">
        <v>325</v>
      </c>
      <c r="C39" s="1">
        <v>612410</v>
      </c>
      <c r="D39" s="1" t="s">
        <v>27</v>
      </c>
      <c r="E39" s="22">
        <v>159192.42999999996</v>
      </c>
      <c r="F39" s="22">
        <v>165471.47</v>
      </c>
      <c r="G39" s="22">
        <v>141790.03999999998</v>
      </c>
      <c r="H39" s="22">
        <v>147400.26</v>
      </c>
      <c r="I39" s="22">
        <v>166525.20000000001</v>
      </c>
      <c r="J39" s="22">
        <v>224507.34</v>
      </c>
      <c r="K39" s="22">
        <v>352278.76000000007</v>
      </c>
      <c r="L39" s="22">
        <v>345502.44999999995</v>
      </c>
      <c r="M39" s="22">
        <v>248512.73000000007</v>
      </c>
      <c r="N39" s="42">
        <v>236275.15999999997</v>
      </c>
      <c r="O39" s="48">
        <f>271353.42+2557.66</f>
        <v>273911.07999999996</v>
      </c>
      <c r="P39" s="48">
        <f>205885.59+2496.55</f>
        <v>208382.13999999998</v>
      </c>
      <c r="Q39" s="51">
        <f>98994.91+1850.7</f>
        <v>100845.61</v>
      </c>
      <c r="R39" s="39">
        <f>126604.39+6232.12</f>
        <v>132836.51</v>
      </c>
      <c r="S39" s="41">
        <f>106689.58+4134.66</f>
        <v>110824.24</v>
      </c>
      <c r="T39" s="41">
        <f>77595.02+1200.55</f>
        <v>78795.570000000007</v>
      </c>
      <c r="U39" s="16">
        <f t="shared" si="5"/>
        <v>-32028.67</v>
      </c>
      <c r="V39" s="45">
        <f t="shared" si="6"/>
        <v>-0.28900419258458254</v>
      </c>
    </row>
    <row r="40" spans="1:22" x14ac:dyDescent="0.2">
      <c r="A40" s="3">
        <v>601401</v>
      </c>
      <c r="B40" s="3" t="s">
        <v>431</v>
      </c>
      <c r="C40" s="1">
        <v>612420</v>
      </c>
      <c r="D40" s="1" t="s">
        <v>28</v>
      </c>
      <c r="O40" s="48">
        <v>-91.5</v>
      </c>
      <c r="P40" s="48"/>
      <c r="Q40" s="48"/>
      <c r="R40" s="48"/>
      <c r="S40" s="48"/>
      <c r="T40" s="48"/>
      <c r="U40" s="16">
        <f t="shared" si="5"/>
        <v>0</v>
      </c>
      <c r="V40" s="45" t="e">
        <f t="shared" si="6"/>
        <v>#DIV/0!</v>
      </c>
    </row>
    <row r="41" spans="1:22" x14ac:dyDescent="0.2">
      <c r="A41" s="3">
        <v>601404</v>
      </c>
      <c r="B41" s="3" t="s">
        <v>327</v>
      </c>
      <c r="C41" s="1">
        <v>612510</v>
      </c>
      <c r="D41" s="1" t="s">
        <v>29</v>
      </c>
      <c r="E41" s="22">
        <v>1482.39</v>
      </c>
      <c r="F41" s="22">
        <v>1559.67</v>
      </c>
      <c r="G41" s="22">
        <v>5510.15</v>
      </c>
      <c r="H41" s="22">
        <v>3409.44</v>
      </c>
      <c r="I41" s="22">
        <v>7046.61</v>
      </c>
      <c r="J41" s="22">
        <v>7780.18</v>
      </c>
      <c r="K41" s="22">
        <v>7493.67</v>
      </c>
      <c r="L41" s="22">
        <v>10251.52</v>
      </c>
      <c r="M41" s="22">
        <v>8322.3799999999992</v>
      </c>
      <c r="N41" s="42">
        <v>22964.21</v>
      </c>
      <c r="O41" s="48">
        <v>18599.93</v>
      </c>
      <c r="P41" s="48">
        <f>25711.0475+11.53</f>
        <v>25722.577499999999</v>
      </c>
      <c r="Q41" s="48">
        <f>18551.41+34.07+0.01</f>
        <v>18585.489999999998</v>
      </c>
      <c r="R41" s="48">
        <f>27836.42+90.89</f>
        <v>27927.309999999998</v>
      </c>
      <c r="S41" s="48">
        <f>41647.99+200.72</f>
        <v>41848.71</v>
      </c>
      <c r="T41" s="48">
        <f>26105.09+144.96</f>
        <v>26250.05</v>
      </c>
      <c r="U41" s="16">
        <f t="shared" si="5"/>
        <v>-15598.66</v>
      </c>
      <c r="V41" s="45">
        <f t="shared" si="6"/>
        <v>-0.37273932697089113</v>
      </c>
    </row>
    <row r="42" spans="1:22" x14ac:dyDescent="0.2">
      <c r="A42" s="3">
        <v>601405</v>
      </c>
      <c r="B42" s="3" t="s">
        <v>328</v>
      </c>
      <c r="C42" s="1">
        <v>612520</v>
      </c>
      <c r="D42" s="1" t="s">
        <v>30</v>
      </c>
      <c r="E42" s="22">
        <v>508.93</v>
      </c>
      <c r="F42" s="22">
        <v>519.9</v>
      </c>
      <c r="G42" s="22">
        <v>1836.77</v>
      </c>
      <c r="H42" s="22">
        <v>1136.49</v>
      </c>
      <c r="I42" s="22">
        <v>2348.9299999999998</v>
      </c>
      <c r="J42" s="22">
        <v>2593.42</v>
      </c>
      <c r="K42" s="22">
        <v>2497.9299999999998</v>
      </c>
      <c r="L42" s="22">
        <v>3417.29</v>
      </c>
      <c r="M42" s="22">
        <v>2774.12</v>
      </c>
      <c r="N42" s="42">
        <v>7655.09</v>
      </c>
      <c r="O42" s="48">
        <v>6200.2</v>
      </c>
      <c r="P42" s="48">
        <f>8570.3325+3.84</f>
        <v>8574.1725000000006</v>
      </c>
      <c r="Q42" s="48">
        <f>6183.9+11.35+0.01</f>
        <v>6195.26</v>
      </c>
      <c r="R42" s="48">
        <f>9279.12+30.3+0.02</f>
        <v>9309.44</v>
      </c>
      <c r="S42" s="48">
        <f>13882.98+66.91</f>
        <v>13949.89</v>
      </c>
      <c r="T42" s="48"/>
      <c r="U42" s="16">
        <f t="shared" si="5"/>
        <v>-13949.89</v>
      </c>
      <c r="V42" s="45">
        <f t="shared" si="6"/>
        <v>-1</v>
      </c>
    </row>
    <row r="43" spans="1:22" x14ac:dyDescent="0.2">
      <c r="A43" s="3">
        <v>601406</v>
      </c>
      <c r="B43" s="3" t="s">
        <v>329</v>
      </c>
      <c r="C43" s="1">
        <v>612550</v>
      </c>
      <c r="D43" s="58" t="s">
        <v>310</v>
      </c>
      <c r="E43" s="22"/>
      <c r="F43" s="22"/>
      <c r="G43" s="22"/>
      <c r="H43" s="22"/>
      <c r="I43" s="22"/>
      <c r="J43" s="22"/>
      <c r="K43" s="22"/>
      <c r="L43" s="22"/>
      <c r="M43" s="22"/>
      <c r="N43" s="42"/>
      <c r="O43" s="48"/>
      <c r="P43" s="48">
        <v>5406.9100000000008</v>
      </c>
      <c r="Q43" s="51">
        <v>7894.7</v>
      </c>
      <c r="R43" s="51"/>
      <c r="S43" s="51"/>
      <c r="T43" s="51"/>
      <c r="U43" s="16">
        <f t="shared" si="5"/>
        <v>0</v>
      </c>
      <c r="V43" s="45" t="e">
        <f t="shared" si="6"/>
        <v>#DIV/0!</v>
      </c>
    </row>
    <row r="44" spans="1:22" x14ac:dyDescent="0.2">
      <c r="A44" s="3">
        <v>601402</v>
      </c>
      <c r="B44" s="3" t="s">
        <v>326</v>
      </c>
      <c r="C44" s="1">
        <v>612600</v>
      </c>
      <c r="D44" s="1" t="s">
        <v>31</v>
      </c>
      <c r="E44" s="22"/>
      <c r="F44" s="22"/>
      <c r="G44" s="22"/>
      <c r="H44" s="22"/>
      <c r="I44" s="22"/>
      <c r="J44" s="22"/>
      <c r="K44" s="22"/>
      <c r="L44" s="22"/>
      <c r="M44" s="22">
        <v>5742.87</v>
      </c>
      <c r="N44" s="42">
        <v>9274.08</v>
      </c>
      <c r="O44" s="22"/>
      <c r="P44" s="22"/>
      <c r="Q44" s="22"/>
      <c r="R44" s="22"/>
      <c r="S44" s="22"/>
      <c r="T44" s="22"/>
      <c r="U44" s="16">
        <f t="shared" si="5"/>
        <v>0</v>
      </c>
      <c r="V44" s="45" t="e">
        <f t="shared" si="6"/>
        <v>#DIV/0!</v>
      </c>
    </row>
    <row r="45" spans="1:22" x14ac:dyDescent="0.2">
      <c r="A45" s="3">
        <v>601501</v>
      </c>
      <c r="B45" s="3" t="s">
        <v>32</v>
      </c>
      <c r="C45" s="1">
        <v>613100</v>
      </c>
      <c r="D45" s="1" t="s">
        <v>32</v>
      </c>
      <c r="E45" s="22">
        <v>300.3</v>
      </c>
      <c r="F45" s="22"/>
      <c r="G45" s="22">
        <v>1056.07</v>
      </c>
      <c r="H45" s="22">
        <v>325.70999999999998</v>
      </c>
      <c r="I45" s="22">
        <v>287.10999999999996</v>
      </c>
      <c r="J45" s="22">
        <v>4311.87</v>
      </c>
      <c r="K45" s="22">
        <v>3476.7400000000002</v>
      </c>
      <c r="L45" s="22">
        <v>4238.83</v>
      </c>
      <c r="M45" s="22">
        <v>14114.35</v>
      </c>
      <c r="N45" s="42">
        <v>6041.7</v>
      </c>
      <c r="O45" s="48">
        <f>9387.72+12188.54</f>
        <v>21576.260000000002</v>
      </c>
      <c r="P45" s="48">
        <f>9247.43+10609.14</f>
        <v>19856.57</v>
      </c>
      <c r="Q45" s="51">
        <f>6764.79+7986.93</f>
        <v>14751.720000000001</v>
      </c>
      <c r="R45" s="39">
        <f>3786.95+17973.79</f>
        <v>21760.74</v>
      </c>
      <c r="S45" s="41">
        <f>-173.78+7057.54</f>
        <v>6883.76</v>
      </c>
      <c r="T45" s="41">
        <v>6361.25</v>
      </c>
      <c r="U45" s="16">
        <f t="shared" si="5"/>
        <v>-522.51000000000022</v>
      </c>
      <c r="V45" s="45">
        <f t="shared" si="6"/>
        <v>-7.5904738108243205E-2</v>
      </c>
    </row>
    <row r="46" spans="1:22" x14ac:dyDescent="0.2">
      <c r="A46" s="3">
        <v>601503</v>
      </c>
      <c r="B46" s="3" t="s">
        <v>33</v>
      </c>
      <c r="C46" s="1">
        <v>613210</v>
      </c>
      <c r="D46" s="1" t="s">
        <v>33</v>
      </c>
      <c r="E46" s="22">
        <v>-415.8</v>
      </c>
      <c r="F46" s="22"/>
      <c r="G46" s="22"/>
      <c r="H46" s="22"/>
      <c r="I46" s="22"/>
      <c r="J46" s="22"/>
      <c r="K46" s="22"/>
      <c r="L46" s="22"/>
      <c r="M46" s="22"/>
      <c r="N46" s="22"/>
      <c r="O46" s="22">
        <f>1069.23</f>
        <v>1069.23</v>
      </c>
      <c r="P46" s="22">
        <f>886.49</f>
        <v>886.49</v>
      </c>
      <c r="Q46" s="22">
        <f>720.43</f>
        <v>720.43</v>
      </c>
      <c r="R46" s="22">
        <f>2191.9</f>
        <v>2191.9</v>
      </c>
      <c r="S46" s="22">
        <f>1527.61</f>
        <v>1527.61</v>
      </c>
      <c r="T46" s="22">
        <v>1472.1</v>
      </c>
      <c r="U46" s="16">
        <f t="shared" si="5"/>
        <v>-55.509999999999991</v>
      </c>
      <c r="V46" s="45">
        <f t="shared" si="6"/>
        <v>-3.6337808733904589E-2</v>
      </c>
    </row>
    <row r="47" spans="1:22" x14ac:dyDescent="0.2">
      <c r="A47" s="3">
        <v>601504</v>
      </c>
      <c r="B47" s="3" t="s">
        <v>332</v>
      </c>
      <c r="C47" s="57">
        <v>613215</v>
      </c>
      <c r="D47" s="57" t="s">
        <v>275</v>
      </c>
      <c r="E47" s="22"/>
      <c r="F47" s="22"/>
      <c r="G47" s="22"/>
      <c r="H47" s="22"/>
      <c r="I47" s="22"/>
      <c r="J47" s="22"/>
      <c r="K47" s="22"/>
      <c r="L47" s="22"/>
      <c r="M47" s="22"/>
      <c r="N47" s="22"/>
      <c r="O47" s="22">
        <f>62.26</f>
        <v>62.26</v>
      </c>
      <c r="P47" s="22">
        <f>83.45</f>
        <v>83.45</v>
      </c>
      <c r="Q47" s="22">
        <f>69.85</f>
        <v>69.849999999999994</v>
      </c>
      <c r="R47" s="22">
        <f>92.81</f>
        <v>92.81</v>
      </c>
      <c r="S47" s="22">
        <f>42.55</f>
        <v>42.55</v>
      </c>
      <c r="T47" s="22">
        <v>26.83</v>
      </c>
      <c r="U47" s="16">
        <f t="shared" si="5"/>
        <v>-15.719999999999999</v>
      </c>
      <c r="V47" s="45">
        <f t="shared" si="6"/>
        <v>-0.36944770857814335</v>
      </c>
    </row>
    <row r="48" spans="1:22" x14ac:dyDescent="0.2">
      <c r="A48" s="3">
        <v>601502</v>
      </c>
      <c r="B48" s="3" t="s">
        <v>331</v>
      </c>
      <c r="C48" s="1">
        <v>613220</v>
      </c>
      <c r="D48" s="1" t="s">
        <v>34</v>
      </c>
      <c r="O48" s="3">
        <f>418.9</f>
        <v>418.9</v>
      </c>
      <c r="P48" s="3">
        <f>355.54</f>
        <v>355.54</v>
      </c>
      <c r="Q48" s="3">
        <f>293.18</f>
        <v>293.18</v>
      </c>
      <c r="R48" s="51">
        <f>1031.38</f>
        <v>1031.3800000000001</v>
      </c>
      <c r="S48" s="51">
        <f>792.25</f>
        <v>792.25</v>
      </c>
      <c r="T48" s="51">
        <v>783.93</v>
      </c>
      <c r="U48" s="16">
        <f t="shared" si="5"/>
        <v>-8.32000000000005</v>
      </c>
      <c r="V48" s="45">
        <f t="shared" si="6"/>
        <v>-1.0501735563269233E-2</v>
      </c>
    </row>
    <row r="49" spans="1:22" x14ac:dyDescent="0.2">
      <c r="A49" s="3">
        <v>601509</v>
      </c>
      <c r="B49" s="3" t="s">
        <v>35</v>
      </c>
      <c r="C49" s="1">
        <v>613235</v>
      </c>
      <c r="D49" s="1" t="s">
        <v>35</v>
      </c>
      <c r="E49" s="22"/>
      <c r="F49" s="22"/>
      <c r="G49" s="22">
        <v>3250</v>
      </c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>
        <f>15.96</f>
        <v>15.96</v>
      </c>
      <c r="T49" s="22">
        <v>152.33000000000001</v>
      </c>
      <c r="U49" s="16">
        <f t="shared" si="5"/>
        <v>136.37</v>
      </c>
      <c r="V49" s="45">
        <f t="shared" si="6"/>
        <v>8.5444862155388464</v>
      </c>
    </row>
    <row r="50" spans="1:22" x14ac:dyDescent="0.2">
      <c r="A50" s="3">
        <v>601513</v>
      </c>
      <c r="B50" s="3" t="s">
        <v>432</v>
      </c>
      <c r="C50" s="1">
        <v>613400</v>
      </c>
      <c r="D50" s="1" t="s">
        <v>36</v>
      </c>
      <c r="E50" s="22">
        <v>22303.29</v>
      </c>
      <c r="F50" s="22">
        <v>26761.13</v>
      </c>
      <c r="G50" s="22">
        <v>63150.35</v>
      </c>
      <c r="H50" s="22">
        <v>-10849.86</v>
      </c>
      <c r="I50" s="22">
        <v>104784.64</v>
      </c>
      <c r="J50" s="22">
        <v>-63164.08</v>
      </c>
      <c r="K50" s="22">
        <v>76756.69</v>
      </c>
      <c r="L50" s="22">
        <v>-74765.81</v>
      </c>
      <c r="M50" s="22">
        <v>56564.160000000003</v>
      </c>
      <c r="N50" s="42">
        <v>76796.95</v>
      </c>
      <c r="O50" s="48">
        <f>65217.14+(-165.49)</f>
        <v>65051.65</v>
      </c>
      <c r="P50" s="48">
        <f>-67611.86+(-470.94)</f>
        <v>-68082.8</v>
      </c>
      <c r="Q50" s="51">
        <f>-39480.58+(-925.57)</f>
        <v>-40406.15</v>
      </c>
      <c r="R50" s="39">
        <f>-164369.95+2325.24</f>
        <v>-162044.71000000002</v>
      </c>
      <c r="S50" s="41">
        <f>-38199.69+(-601.58)</f>
        <v>-38801.270000000004</v>
      </c>
      <c r="T50" s="41">
        <f>55917.37+1520.9</f>
        <v>57438.270000000004</v>
      </c>
      <c r="U50" s="16">
        <f t="shared" si="5"/>
        <v>96239.540000000008</v>
      </c>
      <c r="V50" s="45">
        <f t="shared" si="6"/>
        <v>-2.4803193297538972</v>
      </c>
    </row>
    <row r="51" spans="1:22" x14ac:dyDescent="0.2">
      <c r="A51" s="3">
        <v>601508</v>
      </c>
      <c r="B51" s="3" t="s">
        <v>307</v>
      </c>
      <c r="C51" s="1">
        <v>613410</v>
      </c>
      <c r="D51" s="1" t="s">
        <v>37</v>
      </c>
      <c r="E51" s="22"/>
      <c r="F51" s="22"/>
      <c r="G51" s="22"/>
      <c r="H51" s="22">
        <v>63137.270000000004</v>
      </c>
      <c r="I51" s="22"/>
      <c r="J51" s="22"/>
      <c r="K51" s="22"/>
      <c r="L51" s="22"/>
      <c r="M51" s="22"/>
      <c r="N51" s="22"/>
      <c r="O51" s="47"/>
      <c r="P51" s="47"/>
      <c r="Q51" s="47"/>
      <c r="R51" s="47"/>
      <c r="S51" s="47"/>
      <c r="T51" s="47"/>
      <c r="U51" s="16">
        <f t="shared" si="5"/>
        <v>0</v>
      </c>
      <c r="V51" s="45" t="e">
        <f t="shared" si="6"/>
        <v>#DIV/0!</v>
      </c>
    </row>
    <row r="52" spans="1:22" x14ac:dyDescent="0.2">
      <c r="A52" s="3">
        <v>601500</v>
      </c>
      <c r="B52" s="3" t="s">
        <v>330</v>
      </c>
      <c r="C52" s="1">
        <v>621100</v>
      </c>
      <c r="D52" s="1" t="s">
        <v>38</v>
      </c>
      <c r="E52" s="22">
        <v>6759.7800000000007</v>
      </c>
      <c r="F52" s="22">
        <v>7976.2100000000009</v>
      </c>
      <c r="G52" s="22">
        <v>7157.58</v>
      </c>
      <c r="H52" s="22">
        <v>8578.119999999999</v>
      </c>
      <c r="I52" s="22">
        <v>6881.16</v>
      </c>
      <c r="J52" s="22">
        <v>16740.27</v>
      </c>
      <c r="K52" s="22">
        <v>12696.51</v>
      </c>
      <c r="L52" s="22">
        <v>19123.620000000003</v>
      </c>
      <c r="M52" s="22">
        <v>19118.87</v>
      </c>
      <c r="N52" s="42">
        <v>21884.66</v>
      </c>
      <c r="O52" s="48">
        <f>23936.35+856.03</f>
        <v>24792.379999999997</v>
      </c>
      <c r="P52" s="48">
        <f>24809.8+711.57</f>
        <v>25521.37</v>
      </c>
      <c r="Q52" s="51">
        <f>16842.02+656.32</f>
        <v>17498.34</v>
      </c>
      <c r="R52" s="39">
        <f>14639.7+1725.32</f>
        <v>16365.02</v>
      </c>
      <c r="S52" s="41">
        <f>8107.29+1347.2</f>
        <v>9454.49</v>
      </c>
      <c r="T52" s="41">
        <f>8898.61+1195.87</f>
        <v>10094.48</v>
      </c>
      <c r="U52" s="16">
        <f t="shared" si="5"/>
        <v>639.98999999999978</v>
      </c>
      <c r="V52" s="45">
        <f t="shared" si="6"/>
        <v>6.76916470375451E-2</v>
      </c>
    </row>
    <row r="53" spans="1:22" x14ac:dyDescent="0.2">
      <c r="A53" s="3">
        <v>601500</v>
      </c>
      <c r="B53" s="3" t="s">
        <v>330</v>
      </c>
      <c r="C53" s="1">
        <v>621110</v>
      </c>
      <c r="D53" s="1" t="s">
        <v>39</v>
      </c>
      <c r="U53" s="16">
        <f t="shared" si="5"/>
        <v>0</v>
      </c>
      <c r="V53" s="45" t="e">
        <f t="shared" si="6"/>
        <v>#DIV/0!</v>
      </c>
    </row>
    <row r="54" spans="1:22" x14ac:dyDescent="0.2">
      <c r="A54" s="3">
        <v>601500</v>
      </c>
      <c r="B54" s="3" t="s">
        <v>330</v>
      </c>
      <c r="C54" s="1">
        <v>621120</v>
      </c>
      <c r="D54" s="1" t="s">
        <v>40</v>
      </c>
      <c r="U54" s="16">
        <f t="shared" si="5"/>
        <v>0</v>
      </c>
      <c r="V54" s="45" t="e">
        <f t="shared" si="6"/>
        <v>#DIV/0!</v>
      </c>
    </row>
    <row r="55" spans="1:22" x14ac:dyDescent="0.2">
      <c r="A55" s="3">
        <v>601500</v>
      </c>
      <c r="B55" s="3" t="s">
        <v>330</v>
      </c>
      <c r="C55" s="1">
        <v>621130</v>
      </c>
      <c r="D55" s="1" t="s">
        <v>41</v>
      </c>
      <c r="U55" s="16">
        <f t="shared" si="5"/>
        <v>0</v>
      </c>
      <c r="V55" s="45" t="e">
        <f t="shared" si="6"/>
        <v>#DIV/0!</v>
      </c>
    </row>
    <row r="56" spans="1:22" x14ac:dyDescent="0.2">
      <c r="A56" s="3">
        <v>601500</v>
      </c>
      <c r="B56" s="3" t="s">
        <v>330</v>
      </c>
      <c r="C56" s="1">
        <v>621140</v>
      </c>
      <c r="D56" s="1" t="s">
        <v>42</v>
      </c>
      <c r="E56" s="22">
        <v>2280.3000000000002</v>
      </c>
      <c r="F56" s="22">
        <v>3337.23</v>
      </c>
      <c r="G56" s="22">
        <v>13049.38</v>
      </c>
      <c r="H56" s="22">
        <v>10356.32</v>
      </c>
      <c r="I56" s="22">
        <v>15785.199999999999</v>
      </c>
      <c r="J56" s="22">
        <v>14445.29</v>
      </c>
      <c r="K56" s="22">
        <v>18254.36</v>
      </c>
      <c r="L56" s="22">
        <v>12214.080000000002</v>
      </c>
      <c r="M56" s="22">
        <v>728.37</v>
      </c>
      <c r="N56" s="42">
        <v>2381.63</v>
      </c>
      <c r="O56" s="48">
        <f>-685.5+783.91</f>
        <v>98.409999999999968</v>
      </c>
      <c r="P56" s="48">
        <f>511.46</f>
        <v>511.46</v>
      </c>
      <c r="Q56" s="51">
        <f>1085.78+533.69</f>
        <v>1619.47</v>
      </c>
      <c r="R56" s="51"/>
      <c r="S56" s="51"/>
      <c r="T56" s="51"/>
      <c r="U56" s="16">
        <f t="shared" si="5"/>
        <v>0</v>
      </c>
      <c r="V56" s="45" t="e">
        <f t="shared" si="6"/>
        <v>#DIV/0!</v>
      </c>
    </row>
    <row r="57" spans="1:22" x14ac:dyDescent="0.2">
      <c r="A57" s="3">
        <v>601500</v>
      </c>
      <c r="B57" s="3" t="s">
        <v>330</v>
      </c>
      <c r="C57" s="1">
        <v>621150</v>
      </c>
      <c r="D57" s="1" t="s">
        <v>43</v>
      </c>
      <c r="E57" s="22"/>
      <c r="F57" s="22"/>
      <c r="G57" s="22"/>
      <c r="H57" s="22">
        <v>1170.29</v>
      </c>
      <c r="I57" s="22">
        <v>1170.29</v>
      </c>
      <c r="J57" s="22">
        <v>1215.23</v>
      </c>
      <c r="K57" s="22">
        <v>2430.4700000000003</v>
      </c>
      <c r="L57" s="22">
        <v>2430.4700000000003</v>
      </c>
      <c r="M57" s="22"/>
      <c r="N57" s="22"/>
      <c r="O57" s="22"/>
      <c r="P57" s="22">
        <f>112.19</f>
        <v>112.19</v>
      </c>
      <c r="Q57" s="22"/>
      <c r="R57" s="22"/>
      <c r="S57" s="22"/>
      <c r="T57" s="22"/>
      <c r="U57" s="16">
        <f t="shared" si="5"/>
        <v>0</v>
      </c>
      <c r="V57" s="45" t="e">
        <f t="shared" si="6"/>
        <v>#DIV/0!</v>
      </c>
    </row>
    <row r="58" spans="1:22" x14ac:dyDescent="0.2">
      <c r="A58" s="3">
        <v>601505</v>
      </c>
      <c r="B58" s="3" t="s">
        <v>333</v>
      </c>
      <c r="C58" s="1">
        <v>622100</v>
      </c>
      <c r="D58" s="1" t="s">
        <v>44</v>
      </c>
      <c r="E58" s="22"/>
      <c r="F58" s="22">
        <v>1953.53</v>
      </c>
      <c r="G58" s="22"/>
      <c r="H58" s="22"/>
      <c r="I58" s="22"/>
      <c r="J58" s="22">
        <v>6182.33</v>
      </c>
      <c r="K58" s="22">
        <v>1230.81</v>
      </c>
      <c r="L58" s="22">
        <v>33276.090000000004</v>
      </c>
      <c r="M58" s="22"/>
      <c r="N58" s="42">
        <v>6901.9699999999993</v>
      </c>
      <c r="O58" s="22">
        <f>1503.43</f>
        <v>1503.43</v>
      </c>
      <c r="P58" s="22">
        <f>61042.27+636.21</f>
        <v>61678.479999999996</v>
      </c>
      <c r="Q58" s="51">
        <f>44269.68+438.36</f>
        <v>44708.04</v>
      </c>
      <c r="R58" s="39">
        <f>74837.03+1717.92</f>
        <v>76554.95</v>
      </c>
      <c r="S58" s="41">
        <f>3311.31+2948.68</f>
        <v>6259.99</v>
      </c>
      <c r="T58" s="41">
        <f>3222.6+1632.64</f>
        <v>4855.24</v>
      </c>
      <c r="U58" s="16">
        <f t="shared" si="5"/>
        <v>-1404.75</v>
      </c>
      <c r="V58" s="45">
        <f t="shared" si="6"/>
        <v>-0.22440131693501109</v>
      </c>
    </row>
    <row r="59" spans="1:22" x14ac:dyDescent="0.2">
      <c r="A59" s="3">
        <v>601505</v>
      </c>
      <c r="B59" s="3" t="s">
        <v>333</v>
      </c>
      <c r="C59" s="1">
        <v>622140</v>
      </c>
      <c r="D59" s="1" t="s">
        <v>45</v>
      </c>
      <c r="E59" s="22"/>
      <c r="F59" s="22">
        <v>9380.2100000000009</v>
      </c>
      <c r="G59" s="22">
        <v>4948.26</v>
      </c>
      <c r="H59" s="22">
        <v>1308.22</v>
      </c>
      <c r="I59" s="22">
        <v>1840.3600000000001</v>
      </c>
      <c r="J59" s="22">
        <v>31905.579999999998</v>
      </c>
      <c r="K59" s="22">
        <v>12832.829999999998</v>
      </c>
      <c r="L59" s="22">
        <v>50641.56</v>
      </c>
      <c r="M59" s="22">
        <v>6268.25</v>
      </c>
      <c r="N59" s="42">
        <v>15915.53</v>
      </c>
      <c r="O59" s="48">
        <v>488.69</v>
      </c>
      <c r="P59" s="48">
        <v>5612.4900000000007</v>
      </c>
      <c r="Q59" s="48">
        <f>1083.63</f>
        <v>1083.6300000000001</v>
      </c>
      <c r="R59" s="48"/>
      <c r="S59" s="48"/>
      <c r="T59" s="48"/>
      <c r="U59" s="16">
        <f t="shared" si="5"/>
        <v>0</v>
      </c>
      <c r="V59" s="45" t="e">
        <f t="shared" si="6"/>
        <v>#DIV/0!</v>
      </c>
    </row>
    <row r="60" spans="1:22" x14ac:dyDescent="0.2">
      <c r="A60" s="3">
        <v>601506</v>
      </c>
      <c r="B60" s="3" t="s">
        <v>334</v>
      </c>
      <c r="C60" s="1">
        <v>623100</v>
      </c>
      <c r="D60" s="1" t="s">
        <v>46</v>
      </c>
      <c r="E60" s="22"/>
      <c r="F60" s="22"/>
      <c r="G60" s="22"/>
      <c r="H60" s="22"/>
      <c r="I60" s="22"/>
      <c r="J60" s="22"/>
      <c r="K60" s="22"/>
      <c r="L60" s="22">
        <v>3599.6900000000005</v>
      </c>
      <c r="M60" s="22">
        <v>5801.81</v>
      </c>
      <c r="N60" s="22"/>
      <c r="O60" s="22">
        <f>568.48</f>
        <v>568.48</v>
      </c>
      <c r="P60" s="22">
        <f>19659.15+147.47</f>
        <v>19806.620000000003</v>
      </c>
      <c r="Q60" s="51">
        <f>22134.84+147.5</f>
        <v>22282.34</v>
      </c>
      <c r="R60" s="39">
        <f>41505.46+457.46</f>
        <v>41962.92</v>
      </c>
      <c r="S60" s="39">
        <f>956.88</f>
        <v>956.88</v>
      </c>
      <c r="T60" s="39">
        <v>447.08</v>
      </c>
      <c r="U60" s="16">
        <f t="shared" si="5"/>
        <v>-509.8</v>
      </c>
      <c r="V60" s="45">
        <f t="shared" si="6"/>
        <v>-0.53277317950004177</v>
      </c>
    </row>
    <row r="61" spans="1:22" x14ac:dyDescent="0.2">
      <c r="A61" s="3">
        <v>601506</v>
      </c>
      <c r="B61" s="3" t="s">
        <v>334</v>
      </c>
      <c r="C61" s="1">
        <v>623110</v>
      </c>
      <c r="D61" s="1" t="s">
        <v>47</v>
      </c>
      <c r="U61" s="16">
        <f t="shared" si="5"/>
        <v>0</v>
      </c>
      <c r="V61" s="45" t="e">
        <f t="shared" si="6"/>
        <v>#DIV/0!</v>
      </c>
    </row>
    <row r="62" spans="1:22" x14ac:dyDescent="0.2">
      <c r="A62" s="3">
        <v>601506</v>
      </c>
      <c r="B62" s="3" t="s">
        <v>334</v>
      </c>
      <c r="C62" s="1">
        <v>623120</v>
      </c>
      <c r="D62" s="1" t="s">
        <v>48</v>
      </c>
      <c r="U62" s="16">
        <f t="shared" si="5"/>
        <v>0</v>
      </c>
      <c r="V62" s="45" t="e">
        <f t="shared" si="6"/>
        <v>#DIV/0!</v>
      </c>
    </row>
    <row r="63" spans="1:22" x14ac:dyDescent="0.2">
      <c r="A63" s="3">
        <v>601506</v>
      </c>
      <c r="B63" s="3" t="s">
        <v>334</v>
      </c>
      <c r="C63" s="1">
        <v>623140</v>
      </c>
      <c r="D63" s="1" t="s">
        <v>49</v>
      </c>
      <c r="U63" s="16">
        <f t="shared" si="5"/>
        <v>0</v>
      </c>
      <c r="V63" s="45" t="e">
        <f t="shared" si="6"/>
        <v>#DIV/0!</v>
      </c>
    </row>
    <row r="64" spans="1:22" x14ac:dyDescent="0.2">
      <c r="A64" s="3">
        <v>601506</v>
      </c>
      <c r="B64" s="3" t="s">
        <v>334</v>
      </c>
      <c r="C64" s="1">
        <v>623150</v>
      </c>
      <c r="D64" s="1" t="s">
        <v>50</v>
      </c>
      <c r="E64" s="22"/>
      <c r="F64" s="22"/>
      <c r="G64" s="22"/>
      <c r="H64" s="22"/>
      <c r="I64" s="22"/>
      <c r="J64" s="22"/>
      <c r="K64" s="22">
        <v>2822.39</v>
      </c>
      <c r="L64" s="22">
        <v>3320.55</v>
      </c>
      <c r="M64" s="22"/>
      <c r="N64" s="22"/>
      <c r="O64" s="22"/>
      <c r="P64" s="22"/>
      <c r="Q64" s="22">
        <f>302.24</f>
        <v>302.24</v>
      </c>
      <c r="R64" s="22"/>
      <c r="S64" s="22"/>
      <c r="T64" s="22"/>
      <c r="U64" s="16">
        <f t="shared" si="5"/>
        <v>0</v>
      </c>
      <c r="V64" s="45" t="e">
        <f t="shared" si="6"/>
        <v>#DIV/0!</v>
      </c>
    </row>
    <row r="65" spans="1:22" x14ac:dyDescent="0.2">
      <c r="A65" s="3">
        <v>601506</v>
      </c>
      <c r="B65" s="3" t="s">
        <v>334</v>
      </c>
      <c r="C65" s="1">
        <v>623160</v>
      </c>
      <c r="D65" s="1" t="s">
        <v>51</v>
      </c>
      <c r="U65" s="16">
        <f t="shared" si="5"/>
        <v>0</v>
      </c>
      <c r="V65" s="45" t="e">
        <f t="shared" si="6"/>
        <v>#DIV/0!</v>
      </c>
    </row>
    <row r="66" spans="1:22" x14ac:dyDescent="0.2">
      <c r="A66" s="3">
        <v>601508</v>
      </c>
      <c r="B66" s="3" t="s">
        <v>307</v>
      </c>
      <c r="C66" s="1">
        <v>624100</v>
      </c>
      <c r="D66" s="1" t="s">
        <v>52</v>
      </c>
      <c r="E66" s="22">
        <v>610</v>
      </c>
      <c r="F66" s="22">
        <v>500</v>
      </c>
      <c r="G66" s="22">
        <v>2529.4</v>
      </c>
      <c r="H66" s="22">
        <v>2724.48</v>
      </c>
      <c r="I66" s="22">
        <v>1698.5</v>
      </c>
      <c r="J66" s="22">
        <v>13.5</v>
      </c>
      <c r="K66" s="22"/>
      <c r="L66" s="22"/>
      <c r="M66" s="22"/>
      <c r="N66" s="22"/>
      <c r="O66" s="22">
        <f>11.72</f>
        <v>11.72</v>
      </c>
      <c r="P66" s="22">
        <f>243.17</f>
        <v>243.17</v>
      </c>
      <c r="Q66" s="22">
        <f>57.25</f>
        <v>57.25</v>
      </c>
      <c r="R66" s="22">
        <f>199.26</f>
        <v>199.26</v>
      </c>
      <c r="S66" s="41">
        <f>108+136.53</f>
        <v>244.53</v>
      </c>
      <c r="T66" s="41">
        <f>27+86.65</f>
        <v>113.65</v>
      </c>
      <c r="U66" s="16">
        <f t="shared" si="5"/>
        <v>-130.88</v>
      </c>
      <c r="V66" s="45">
        <f t="shared" si="6"/>
        <v>-0.53523085102032464</v>
      </c>
    </row>
    <row r="67" spans="1:22" x14ac:dyDescent="0.2">
      <c r="A67" s="3">
        <v>601508</v>
      </c>
      <c r="B67" s="3" t="s">
        <v>307</v>
      </c>
      <c r="C67" s="1">
        <v>624120</v>
      </c>
      <c r="D67" s="1" t="s">
        <v>53</v>
      </c>
      <c r="E67" s="22"/>
      <c r="F67" s="22">
        <v>278.23</v>
      </c>
      <c r="G67" s="22"/>
      <c r="H67" s="22">
        <v>8338.34</v>
      </c>
      <c r="I67" s="22"/>
      <c r="J67" s="22"/>
      <c r="K67" s="22"/>
      <c r="L67" s="22">
        <v>4875</v>
      </c>
      <c r="M67" s="22"/>
      <c r="N67" s="22"/>
      <c r="O67" s="22"/>
      <c r="P67" s="22"/>
      <c r="Q67" s="22"/>
      <c r="R67" s="22"/>
      <c r="S67" s="22"/>
      <c r="T67" s="22"/>
      <c r="U67" s="16">
        <f t="shared" si="5"/>
        <v>0</v>
      </c>
      <c r="V67" s="45" t="e">
        <f t="shared" si="6"/>
        <v>#DIV/0!</v>
      </c>
    </row>
    <row r="68" spans="1:22" x14ac:dyDescent="0.2">
      <c r="A68" s="3">
        <v>601508</v>
      </c>
      <c r="B68" s="3" t="s">
        <v>307</v>
      </c>
      <c r="C68" s="1">
        <v>624125</v>
      </c>
      <c r="D68" s="1" t="s">
        <v>54</v>
      </c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16">
        <f t="shared" si="5"/>
        <v>0</v>
      </c>
      <c r="V68" s="45" t="e">
        <f t="shared" si="6"/>
        <v>#DIV/0!</v>
      </c>
    </row>
    <row r="69" spans="1:22" x14ac:dyDescent="0.2">
      <c r="C69" s="3" t="s">
        <v>234</v>
      </c>
      <c r="D69" s="3" t="s">
        <v>235</v>
      </c>
      <c r="J69" s="4"/>
      <c r="K69" s="4"/>
      <c r="L69" s="4"/>
      <c r="M69" s="4">
        <v>13363.77</v>
      </c>
      <c r="N69" s="4">
        <v>7200</v>
      </c>
      <c r="O69" s="4"/>
      <c r="P69" s="4"/>
      <c r="Q69" s="4"/>
      <c r="R69" s="4"/>
      <c r="S69" s="4"/>
      <c r="T69" s="4"/>
      <c r="U69" s="16">
        <f t="shared" si="5"/>
        <v>0</v>
      </c>
      <c r="V69" s="45" t="e">
        <f t="shared" si="6"/>
        <v>#DIV/0!</v>
      </c>
    </row>
    <row r="70" spans="1:22" x14ac:dyDescent="0.2">
      <c r="C70" s="1"/>
      <c r="D70" s="5" t="s">
        <v>230</v>
      </c>
      <c r="E70" s="6">
        <f t="shared" ref="E70:U70" si="7">SUM(E27:E69)</f>
        <v>814923.47000000009</v>
      </c>
      <c r="F70" s="6">
        <f t="shared" si="7"/>
        <v>846189.88</v>
      </c>
      <c r="G70" s="6">
        <f t="shared" si="7"/>
        <v>1072817.44</v>
      </c>
      <c r="H70" s="6">
        <f t="shared" si="7"/>
        <v>1186387.74</v>
      </c>
      <c r="I70" s="6">
        <f t="shared" si="7"/>
        <v>1139720.3499999999</v>
      </c>
      <c r="J70" s="6">
        <f t="shared" si="7"/>
        <v>1126437.8</v>
      </c>
      <c r="K70" s="6">
        <f t="shared" si="7"/>
        <v>1439259.2899999998</v>
      </c>
      <c r="L70" s="6">
        <f t="shared" si="7"/>
        <v>1486930.4800000002</v>
      </c>
      <c r="M70" s="6">
        <f t="shared" si="7"/>
        <v>1405771.0600000005</v>
      </c>
      <c r="N70" s="6">
        <f t="shared" si="7"/>
        <v>1575339.56</v>
      </c>
      <c r="O70" s="6">
        <f t="shared" si="7"/>
        <v>1476263.6699999992</v>
      </c>
      <c r="P70" s="6">
        <f t="shared" si="7"/>
        <v>1171383.3699999999</v>
      </c>
      <c r="Q70" s="6">
        <f t="shared" si="7"/>
        <v>905712.77999999991</v>
      </c>
      <c r="R70" s="6">
        <f t="shared" si="7"/>
        <v>1051184.9399999997</v>
      </c>
      <c r="S70" s="6">
        <f t="shared" si="7"/>
        <v>939814.74000000011</v>
      </c>
      <c r="T70" s="6">
        <f t="shared" si="7"/>
        <v>876078.14000000013</v>
      </c>
      <c r="U70" s="17">
        <f t="shared" si="7"/>
        <v>-63736.600000000035</v>
      </c>
      <c r="V70" s="45">
        <f t="shared" si="6"/>
        <v>-6.7818259585926507E-2</v>
      </c>
    </row>
    <row r="71" spans="1:22" x14ac:dyDescent="0.2">
      <c r="A71" s="3">
        <v>602400</v>
      </c>
      <c r="B71" s="3" t="s">
        <v>499</v>
      </c>
      <c r="C71" s="1">
        <v>625100</v>
      </c>
      <c r="D71" s="1" t="s">
        <v>55</v>
      </c>
      <c r="E71" s="22">
        <v>15120.059999999998</v>
      </c>
      <c r="F71" s="22">
        <v>13351.200000000004</v>
      </c>
      <c r="G71" s="22">
        <v>22779.23</v>
      </c>
      <c r="H71" s="22">
        <v>26995.19</v>
      </c>
      <c r="I71" s="22">
        <v>27153.269999999997</v>
      </c>
      <c r="J71" s="22">
        <v>29230.59</v>
      </c>
      <c r="K71" s="22">
        <v>36659.79</v>
      </c>
      <c r="L71" s="22">
        <v>30979.070000000003</v>
      </c>
      <c r="M71" s="22">
        <v>22588.26999999999</v>
      </c>
      <c r="N71" s="51">
        <v>28053.05</v>
      </c>
      <c r="O71" s="48">
        <f>17185.74+1067.26</f>
        <v>18253</v>
      </c>
      <c r="P71" s="48">
        <f>14567.76+817.75</f>
        <v>15385.51</v>
      </c>
      <c r="Q71" s="51">
        <f>11516.03+634.26</f>
        <v>12150.29</v>
      </c>
      <c r="R71" s="39">
        <f>10808.98+1047.35</f>
        <v>11856.33</v>
      </c>
      <c r="S71" s="41">
        <f>8867.52+903.47</f>
        <v>9770.99</v>
      </c>
      <c r="T71" s="41">
        <f>8327.98+776.76</f>
        <v>9104.74</v>
      </c>
      <c r="U71" s="16">
        <f t="shared" ref="U71:U84" si="8">T71-S71</f>
        <v>-666.25</v>
      </c>
      <c r="V71" s="45">
        <f t="shared" ref="V71:V85" si="9">U71/S71</f>
        <v>-6.8186539951427649E-2</v>
      </c>
    </row>
    <row r="72" spans="1:22" x14ac:dyDescent="0.2">
      <c r="A72" s="3">
        <v>602500</v>
      </c>
      <c r="B72" s="3" t="s">
        <v>336</v>
      </c>
      <c r="C72" s="1">
        <v>626100</v>
      </c>
      <c r="D72" s="1" t="s">
        <v>56</v>
      </c>
      <c r="E72" s="22">
        <v>1632.83</v>
      </c>
      <c r="F72" s="22">
        <v>3787.94</v>
      </c>
      <c r="G72" s="22">
        <v>366.87</v>
      </c>
      <c r="H72" s="22">
        <v>62.33</v>
      </c>
      <c r="I72" s="22">
        <v>248.15</v>
      </c>
      <c r="J72" s="22">
        <v>1494.73</v>
      </c>
      <c r="K72" s="22">
        <v>599.01</v>
      </c>
      <c r="L72" s="22">
        <v>1102.26</v>
      </c>
      <c r="M72" s="22">
        <v>-978.09</v>
      </c>
      <c r="N72" s="51">
        <f>524.74+116.17</f>
        <v>640.91</v>
      </c>
      <c r="O72" s="48">
        <f>1523.75+72.11+4.38+0.02</f>
        <v>1600.26</v>
      </c>
      <c r="P72" s="48">
        <f>-1388.23+(-2.15)+28.75-0.01</f>
        <v>-1361.64</v>
      </c>
      <c r="Q72" s="51">
        <f>-1049.29+222.49+1.93</f>
        <v>-824.87</v>
      </c>
      <c r="R72" s="39">
        <f>-941.5+24.67+266.21+0.01</f>
        <v>-650.61000000000013</v>
      </c>
      <c r="S72" s="41">
        <f>500.66+(-42.13)+265.68+(-0.01)</f>
        <v>724.2</v>
      </c>
      <c r="T72" s="41">
        <f>473.78+205.65+59.78+(0.01)</f>
        <v>739.21999999999991</v>
      </c>
      <c r="U72" s="16">
        <f t="shared" si="8"/>
        <v>15.019999999999868</v>
      </c>
      <c r="V72" s="45">
        <f t="shared" si="9"/>
        <v>2.0740127036730002E-2</v>
      </c>
    </row>
    <row r="73" spans="1:22" x14ac:dyDescent="0.2">
      <c r="A73" s="3">
        <v>602100</v>
      </c>
      <c r="B73" s="3" t="s">
        <v>57</v>
      </c>
      <c r="C73" s="1">
        <v>626110</v>
      </c>
      <c r="D73" s="1" t="s">
        <v>57</v>
      </c>
      <c r="E73" s="22">
        <v>309.71999999999997</v>
      </c>
      <c r="F73" s="22">
        <v>321.85000000000002</v>
      </c>
      <c r="G73" s="22">
        <v>923.23</v>
      </c>
      <c r="H73" s="22">
        <v>937.12999999999988</v>
      </c>
      <c r="I73" s="22">
        <v>1428.8899999999999</v>
      </c>
      <c r="J73" s="22">
        <v>1418.33</v>
      </c>
      <c r="K73" s="22">
        <v>1602.2599999999998</v>
      </c>
      <c r="L73" s="22">
        <v>1187.1700000000003</v>
      </c>
      <c r="M73" s="22">
        <v>727.92</v>
      </c>
      <c r="N73" s="51">
        <v>870.09</v>
      </c>
      <c r="O73" s="48">
        <f>883.45+151.22</f>
        <v>1034.67</v>
      </c>
      <c r="P73" s="48">
        <f>887.42+124.16</f>
        <v>1011.5799999999999</v>
      </c>
      <c r="Q73" s="51">
        <f>949.76+100.37</f>
        <v>1050.1300000000001</v>
      </c>
      <c r="R73" s="39">
        <f>852.5+158.06</f>
        <v>1010.56</v>
      </c>
      <c r="S73" s="41">
        <f>517.4+167.23</f>
        <v>684.63</v>
      </c>
      <c r="T73" s="41">
        <f>693.34+169.12</f>
        <v>862.46</v>
      </c>
      <c r="U73" s="16">
        <f t="shared" si="8"/>
        <v>177.83000000000004</v>
      </c>
      <c r="V73" s="45">
        <f t="shared" si="9"/>
        <v>0.25974614025093851</v>
      </c>
    </row>
    <row r="74" spans="1:22" x14ac:dyDescent="0.2">
      <c r="A74" s="3">
        <v>602101</v>
      </c>
      <c r="B74" s="3" t="s">
        <v>58</v>
      </c>
      <c r="C74" s="1">
        <v>626120</v>
      </c>
      <c r="D74" s="1" t="s">
        <v>58</v>
      </c>
      <c r="E74" s="22">
        <v>166594.00999999995</v>
      </c>
      <c r="F74" s="22">
        <v>184994.53000000006</v>
      </c>
      <c r="G74" s="22">
        <v>304621.84000000003</v>
      </c>
      <c r="H74" s="22">
        <v>353365.3899999999</v>
      </c>
      <c r="I74" s="22">
        <v>333486.62000000005</v>
      </c>
      <c r="J74" s="22">
        <v>345471.18000000011</v>
      </c>
      <c r="K74" s="22">
        <v>422935.09</v>
      </c>
      <c r="L74" s="22">
        <v>328278.19000000012</v>
      </c>
      <c r="M74" s="22">
        <v>235870.55000000005</v>
      </c>
      <c r="N74" s="51">
        <v>265878.37999999995</v>
      </c>
      <c r="O74" s="48">
        <f>293650.13+39888.69</f>
        <v>333538.82</v>
      </c>
      <c r="P74" s="48">
        <f>285992.69+34711.75</f>
        <v>320704.44</v>
      </c>
      <c r="Q74" s="51">
        <f>236627.27+27994.31</f>
        <v>264621.58</v>
      </c>
      <c r="R74" s="39">
        <f>191448.12+42717.06</f>
        <v>234165.18</v>
      </c>
      <c r="S74" s="41">
        <f>127974.2+37916.17</f>
        <v>165890.37</v>
      </c>
      <c r="T74" s="41">
        <f>134224.92+36257.84</f>
        <v>170482.76</v>
      </c>
      <c r="U74" s="16">
        <f t="shared" si="8"/>
        <v>4592.390000000014</v>
      </c>
      <c r="V74" s="45">
        <f t="shared" si="9"/>
        <v>2.768328264021603E-2</v>
      </c>
    </row>
    <row r="75" spans="1:22" x14ac:dyDescent="0.2">
      <c r="A75" s="3">
        <v>602200</v>
      </c>
      <c r="B75" s="3" t="s">
        <v>59</v>
      </c>
      <c r="C75" s="1">
        <v>626130</v>
      </c>
      <c r="D75" s="1" t="s">
        <v>59</v>
      </c>
      <c r="E75" s="22">
        <v>3735.8900000000012</v>
      </c>
      <c r="F75" s="22">
        <v>1707.1800000000005</v>
      </c>
      <c r="G75" s="22">
        <v>2185.9899999999998</v>
      </c>
      <c r="H75" s="22">
        <v>2904.1999999999989</v>
      </c>
      <c r="I75" s="22">
        <v>6832.0100000000029</v>
      </c>
      <c r="J75" s="22">
        <v>4122.3599999999997</v>
      </c>
      <c r="K75" s="22">
        <v>5681.6100000000006</v>
      </c>
      <c r="L75" s="22">
        <v>6576.3599999999979</v>
      </c>
      <c r="M75" s="22">
        <v>2743.3100000000004</v>
      </c>
      <c r="N75" s="51">
        <v>3566.5199999999977</v>
      </c>
      <c r="O75" s="48">
        <f>2747.89+184.07</f>
        <v>2931.96</v>
      </c>
      <c r="P75" s="48">
        <f>1590.82+95.24</f>
        <v>1686.06</v>
      </c>
      <c r="Q75" s="51">
        <f>4835.86+284.59</f>
        <v>5120.45</v>
      </c>
      <c r="R75" s="39">
        <f>3861.68+394.54</f>
        <v>4256.22</v>
      </c>
      <c r="S75" s="41">
        <f>73.26+4.46</f>
        <v>77.72</v>
      </c>
      <c r="T75" s="41">
        <f>749.57+81.67</f>
        <v>831.24</v>
      </c>
      <c r="U75" s="16">
        <f t="shared" si="8"/>
        <v>753.52</v>
      </c>
      <c r="V75" s="45">
        <f t="shared" si="9"/>
        <v>9.6953165208440559</v>
      </c>
    </row>
    <row r="76" spans="1:22" x14ac:dyDescent="0.2">
      <c r="A76" s="3">
        <v>602300</v>
      </c>
      <c r="B76" s="3" t="s">
        <v>60</v>
      </c>
      <c r="C76" s="1">
        <v>626141</v>
      </c>
      <c r="D76" s="1" t="s">
        <v>60</v>
      </c>
      <c r="E76" s="22">
        <v>80761.38</v>
      </c>
      <c r="F76" s="22">
        <v>95651.849999999977</v>
      </c>
      <c r="G76" s="22">
        <v>145631.68999999997</v>
      </c>
      <c r="H76" s="22">
        <v>166151.43000000002</v>
      </c>
      <c r="I76" s="22">
        <v>144782.03999999998</v>
      </c>
      <c r="J76" s="22">
        <v>153739.37999999995</v>
      </c>
      <c r="K76" s="22">
        <v>174988.53</v>
      </c>
      <c r="L76" s="22">
        <v>166327.22000000003</v>
      </c>
      <c r="M76" s="22">
        <v>135235.00000000003</v>
      </c>
      <c r="N76" s="51">
        <v>141995.15000000005</v>
      </c>
      <c r="O76" s="48">
        <f>133808.47+9423.91</f>
        <v>143232.38</v>
      </c>
      <c r="P76" s="48">
        <f>130594.85+7812.02</f>
        <v>138406.87</v>
      </c>
      <c r="Q76" s="51">
        <f>117889.62+6623.12</f>
        <v>124512.73999999999</v>
      </c>
      <c r="R76" s="39">
        <f>114488.42+11020.76</f>
        <v>125509.18</v>
      </c>
      <c r="S76" s="41">
        <f>81939.99+8748.89</f>
        <v>90688.88</v>
      </c>
      <c r="T76" s="41">
        <f>80032.35+8606.73</f>
        <v>88639.08</v>
      </c>
      <c r="U76" s="16">
        <f t="shared" si="8"/>
        <v>-2049.8000000000029</v>
      </c>
      <c r="V76" s="45">
        <f t="shared" si="9"/>
        <v>-2.2602550610394602E-2</v>
      </c>
    </row>
    <row r="77" spans="1:22" x14ac:dyDescent="0.2">
      <c r="A77" s="3">
        <v>602301</v>
      </c>
      <c r="B77" s="3" t="s">
        <v>61</v>
      </c>
      <c r="C77" s="1">
        <v>626142</v>
      </c>
      <c r="D77" s="1" t="s">
        <v>61</v>
      </c>
      <c r="E77" s="22">
        <v>19999.080000000002</v>
      </c>
      <c r="F77" s="22">
        <v>23321.34</v>
      </c>
      <c r="G77" s="22">
        <v>35222.960000000006</v>
      </c>
      <c r="H77" s="22">
        <v>40399.78</v>
      </c>
      <c r="I77" s="22">
        <v>35119.01</v>
      </c>
      <c r="J77" s="22">
        <v>37268.79</v>
      </c>
      <c r="K77" s="22">
        <v>42119.65</v>
      </c>
      <c r="L77" s="22">
        <v>39800.640000000007</v>
      </c>
      <c r="M77" s="22">
        <v>32869.929999999993</v>
      </c>
      <c r="N77" s="51">
        <v>35185.629999999997</v>
      </c>
      <c r="O77" s="48">
        <f>33338.28+2221.91</f>
        <v>35560.19</v>
      </c>
      <c r="P77" s="48">
        <f>32236.62+1839.2</f>
        <v>34075.82</v>
      </c>
      <c r="Q77" s="51">
        <f>28544.97+1559.41</f>
        <v>30104.38</v>
      </c>
      <c r="R77" s="39">
        <f>28249.81+2601.52</f>
        <v>30851.33</v>
      </c>
      <c r="S77" s="41">
        <f>19094.64+2069.07</f>
        <v>21163.71</v>
      </c>
      <c r="T77" s="41">
        <f>19102.88+2018.91</f>
        <v>21121.79</v>
      </c>
      <c r="U77" s="16">
        <f t="shared" si="8"/>
        <v>-41.919999999998254</v>
      </c>
      <c r="V77" s="45">
        <f t="shared" si="9"/>
        <v>-1.9807491219638834E-3</v>
      </c>
    </row>
    <row r="78" spans="1:22" x14ac:dyDescent="0.2">
      <c r="A78" s="3">
        <v>602001</v>
      </c>
      <c r="B78" s="3" t="s">
        <v>62</v>
      </c>
      <c r="C78" s="1">
        <v>626171</v>
      </c>
      <c r="D78" s="1" t="s">
        <v>62</v>
      </c>
      <c r="E78" s="22">
        <v>143369.01</v>
      </c>
      <c r="F78" s="22">
        <v>156412.75999999998</v>
      </c>
      <c r="G78" s="22">
        <v>201622.36000000007</v>
      </c>
      <c r="H78" s="22">
        <v>265111.36</v>
      </c>
      <c r="I78" s="22">
        <v>225396.85999999996</v>
      </c>
      <c r="J78" s="22">
        <v>294208.62000000005</v>
      </c>
      <c r="K78" s="22">
        <v>331500.65000000008</v>
      </c>
      <c r="L78" s="22">
        <v>476247.4599999999</v>
      </c>
      <c r="M78" s="22">
        <v>549614.44999999995</v>
      </c>
      <c r="N78" s="51">
        <v>616551.10000000009</v>
      </c>
      <c r="O78" s="48">
        <f>720020.36+76493.85</f>
        <v>796514.21</v>
      </c>
      <c r="P78" s="48">
        <f>773443.76+64012.25</f>
        <v>837456.01</v>
      </c>
      <c r="Q78" s="51">
        <f>735519.79+55370.25</f>
        <v>790890.04</v>
      </c>
      <c r="R78" s="39">
        <f>767734.5+114663.74</f>
        <v>882398.24</v>
      </c>
      <c r="S78" s="41">
        <f>490032.7+89451.36</f>
        <v>579484.06000000006</v>
      </c>
      <c r="T78" s="41">
        <f>468710.62+90199.42</f>
        <v>558910.04</v>
      </c>
      <c r="U78" s="16">
        <f t="shared" si="8"/>
        <v>-20574.020000000019</v>
      </c>
      <c r="V78" s="45">
        <f t="shared" si="9"/>
        <v>-3.5504030947805562E-2</v>
      </c>
    </row>
    <row r="79" spans="1:22" x14ac:dyDescent="0.2">
      <c r="A79" s="3">
        <v>602000</v>
      </c>
      <c r="B79" s="3" t="s">
        <v>63</v>
      </c>
      <c r="C79" s="1">
        <v>626172</v>
      </c>
      <c r="D79" s="1" t="s">
        <v>63</v>
      </c>
      <c r="E79" s="22">
        <v>57827.47</v>
      </c>
      <c r="F79" s="22">
        <v>81477.66</v>
      </c>
      <c r="G79" s="22">
        <v>157693.47999999998</v>
      </c>
      <c r="H79" s="22">
        <v>156981.54</v>
      </c>
      <c r="I79" s="22">
        <v>156690.91000000009</v>
      </c>
      <c r="J79" s="22">
        <v>157149.82</v>
      </c>
      <c r="K79" s="22">
        <v>134181.04999999999</v>
      </c>
      <c r="L79" s="22">
        <v>114884.87000000001</v>
      </c>
      <c r="M79" s="22">
        <v>91977.910000000018</v>
      </c>
      <c r="N79" s="51">
        <v>86245.720000000016</v>
      </c>
      <c r="O79" s="48">
        <f>67149.95+2375</f>
        <v>69524.95</v>
      </c>
      <c r="P79" s="48">
        <f>49027.09+2286.82</f>
        <v>51313.909999999996</v>
      </c>
      <c r="Q79" s="51">
        <f>42510.77+2482.5</f>
        <v>44993.27</v>
      </c>
      <c r="R79" s="39">
        <f>32389.4+2916.92</f>
        <v>35306.32</v>
      </c>
      <c r="S79" s="41">
        <f>20243.12+2019.75</f>
        <v>22262.87</v>
      </c>
      <c r="T79" s="41">
        <f>28621.31+1734.04</f>
        <v>30355.350000000002</v>
      </c>
      <c r="U79" s="16">
        <f t="shared" si="8"/>
        <v>8092.4800000000032</v>
      </c>
      <c r="V79" s="45">
        <f t="shared" si="9"/>
        <v>0.36349670999291661</v>
      </c>
    </row>
    <row r="80" spans="1:22" x14ac:dyDescent="0.2">
      <c r="A80" s="3">
        <v>602002</v>
      </c>
      <c r="B80" s="3" t="s">
        <v>335</v>
      </c>
      <c r="C80" s="1">
        <v>626173</v>
      </c>
      <c r="D80" s="1" t="s">
        <v>64</v>
      </c>
      <c r="E80" s="22">
        <v>396.45000000000005</v>
      </c>
      <c r="F80" s="22">
        <v>106.33</v>
      </c>
      <c r="G80" s="22">
        <v>1655.2600000000002</v>
      </c>
      <c r="H80" s="22">
        <v>5061.6200000000008</v>
      </c>
      <c r="I80" s="22">
        <v>9194.7400000000016</v>
      </c>
      <c r="J80" s="22">
        <v>3631.0699999999997</v>
      </c>
      <c r="K80" s="22">
        <v>4037.83</v>
      </c>
      <c r="L80" s="22">
        <v>2336.5</v>
      </c>
      <c r="M80" s="22">
        <v>9426.64</v>
      </c>
      <c r="N80" s="51">
        <v>28398.77</v>
      </c>
      <c r="O80" s="48">
        <v>21001.43</v>
      </c>
      <c r="P80" s="48">
        <v>5651.75</v>
      </c>
      <c r="Q80" s="51">
        <v>10579.890000000001</v>
      </c>
      <c r="R80" s="39">
        <v>13939.91</v>
      </c>
      <c r="S80" s="41">
        <v>1828.65</v>
      </c>
      <c r="T80" s="41">
        <f>10006.73</f>
        <v>10006.73</v>
      </c>
      <c r="U80" s="16">
        <f t="shared" si="8"/>
        <v>8178.08</v>
      </c>
      <c r="V80" s="45">
        <f t="shared" si="9"/>
        <v>4.4721953353566839</v>
      </c>
    </row>
    <row r="81" spans="1:22" x14ac:dyDescent="0.2">
      <c r="A81" s="3">
        <v>602501</v>
      </c>
      <c r="B81" s="3" t="s">
        <v>434</v>
      </c>
      <c r="C81" s="1">
        <v>626200</v>
      </c>
      <c r="D81" s="1" t="s">
        <v>65</v>
      </c>
      <c r="E81" s="22">
        <v>-19789.63</v>
      </c>
      <c r="F81" s="22">
        <v>5744.4000000000005</v>
      </c>
      <c r="G81" s="22">
        <v>13223.87</v>
      </c>
      <c r="H81" s="22">
        <v>-5821.55</v>
      </c>
      <c r="I81" s="22">
        <v>17606.760000000002</v>
      </c>
      <c r="J81" s="22">
        <v>-11180.99</v>
      </c>
      <c r="K81" s="22">
        <v>29271.200000000001</v>
      </c>
      <c r="L81" s="22">
        <v>25217.420000000002</v>
      </c>
      <c r="M81" s="22">
        <v>18074.62</v>
      </c>
      <c r="N81" s="51">
        <v>50574.11</v>
      </c>
      <c r="O81" s="48">
        <f>29652.18+(-177.72)</f>
        <v>29474.46</v>
      </c>
      <c r="P81" s="48">
        <f>-24394.03+126.03</f>
        <v>-24268</v>
      </c>
      <c r="Q81" s="51">
        <f>3032.36+1136.84</f>
        <v>4169.2</v>
      </c>
      <c r="R81" s="39">
        <f>-89997.57+955.35</f>
        <v>-89042.22</v>
      </c>
      <c r="S81" s="41">
        <f>-3438.52+815.53</f>
        <v>-2622.99</v>
      </c>
      <c r="T81" s="41">
        <f>19957.74+1493.45</f>
        <v>21451.190000000002</v>
      </c>
      <c r="U81" s="16">
        <f t="shared" si="8"/>
        <v>24074.18</v>
      </c>
      <c r="V81" s="45">
        <f t="shared" si="9"/>
        <v>-9.1781440264736052</v>
      </c>
    </row>
    <row r="82" spans="1:22" x14ac:dyDescent="0.2">
      <c r="A82" s="3">
        <v>602502</v>
      </c>
      <c r="B82" s="3" t="s">
        <v>66</v>
      </c>
      <c r="C82" s="1">
        <v>626210</v>
      </c>
      <c r="D82" s="1" t="s">
        <v>66</v>
      </c>
      <c r="E82" s="22"/>
      <c r="F82" s="22"/>
      <c r="G82" s="22"/>
      <c r="H82" s="22">
        <v>23430</v>
      </c>
      <c r="I82" s="22"/>
      <c r="J82" s="22"/>
      <c r="K82" s="22"/>
      <c r="L82" s="22"/>
      <c r="M82" s="22">
        <v>9002.25</v>
      </c>
      <c r="O82" s="48"/>
      <c r="P82" s="48"/>
      <c r="Q82" s="48"/>
      <c r="R82" s="48"/>
      <c r="S82" s="41"/>
      <c r="T82" s="41"/>
      <c r="U82" s="16">
        <f t="shared" si="8"/>
        <v>0</v>
      </c>
      <c r="V82" s="45" t="e">
        <f t="shared" si="9"/>
        <v>#DIV/0!</v>
      </c>
    </row>
    <row r="83" spans="1:22" x14ac:dyDescent="0.2">
      <c r="A83" s="3">
        <v>602503</v>
      </c>
      <c r="B83" s="3" t="s">
        <v>67</v>
      </c>
      <c r="C83" s="1">
        <v>626300</v>
      </c>
      <c r="D83" s="1" t="s">
        <v>67</v>
      </c>
      <c r="E83" s="22"/>
      <c r="F83" s="22">
        <v>511.59000000000003</v>
      </c>
      <c r="G83" s="22">
        <v>157.44</v>
      </c>
      <c r="H83" s="22">
        <v>-410.36</v>
      </c>
      <c r="I83" s="22">
        <v>420.33</v>
      </c>
      <c r="J83" s="22">
        <v>-328.90000000000003</v>
      </c>
      <c r="K83" s="22">
        <v>14.6</v>
      </c>
      <c r="L83" s="22">
        <v>26.61</v>
      </c>
      <c r="M83" s="22">
        <v>-227.07</v>
      </c>
      <c r="N83" s="51">
        <v>588.06000000000006</v>
      </c>
      <c r="O83" s="48">
        <f>18.58+39.88</f>
        <v>58.46</v>
      </c>
      <c r="P83" s="48">
        <f>3620.69+556.54</f>
        <v>4177.2299999999996</v>
      </c>
      <c r="Q83" s="42">
        <f>-3981.49+429.32</f>
        <v>-3552.1699999999996</v>
      </c>
      <c r="R83" s="39">
        <f>-180.78+(-559.31)</f>
        <v>-740.08999999999992</v>
      </c>
      <c r="S83" s="41">
        <f>529.85+106.04</f>
        <v>635.89</v>
      </c>
      <c r="T83" s="41">
        <f>815.02+203.83</f>
        <v>1018.85</v>
      </c>
      <c r="U83" s="16">
        <f t="shared" si="8"/>
        <v>382.96000000000004</v>
      </c>
      <c r="V83" s="45">
        <f t="shared" si="9"/>
        <v>0.60224252622308894</v>
      </c>
    </row>
    <row r="84" spans="1:22" x14ac:dyDescent="0.2">
      <c r="C84" s="3" t="s">
        <v>234</v>
      </c>
      <c r="D84" s="3" t="s">
        <v>235</v>
      </c>
      <c r="E84" s="22"/>
      <c r="F84" s="22"/>
      <c r="G84" s="22"/>
      <c r="H84" s="22"/>
      <c r="I84" s="22"/>
      <c r="J84" s="22"/>
      <c r="K84" s="22"/>
      <c r="L84" s="22"/>
      <c r="M84" s="22">
        <v>1022.33</v>
      </c>
      <c r="N84" s="22"/>
      <c r="O84" s="22"/>
      <c r="P84" s="22"/>
      <c r="Q84" s="22"/>
      <c r="R84" s="22"/>
      <c r="S84" s="22"/>
      <c r="T84" s="22"/>
      <c r="U84" s="16">
        <f t="shared" si="8"/>
        <v>0</v>
      </c>
      <c r="V84" s="45" t="e">
        <f t="shared" si="9"/>
        <v>#DIV/0!</v>
      </c>
    </row>
    <row r="85" spans="1:22" x14ac:dyDescent="0.2">
      <c r="C85" s="1"/>
      <c r="D85" s="5" t="s">
        <v>231</v>
      </c>
      <c r="E85" s="6">
        <f>SUM(E71:E84)</f>
        <v>469956.26999999996</v>
      </c>
      <c r="F85" s="6">
        <f t="shared" ref="F85:T85" si="10">SUM(F71:F84)</f>
        <v>567388.63</v>
      </c>
      <c r="G85" s="6">
        <f t="shared" si="10"/>
        <v>886084.22</v>
      </c>
      <c r="H85" s="6">
        <f t="shared" si="10"/>
        <v>1035168.0599999999</v>
      </c>
      <c r="I85" s="6">
        <f t="shared" si="10"/>
        <v>958359.59</v>
      </c>
      <c r="J85" s="6">
        <f t="shared" si="10"/>
        <v>1016224.9800000002</v>
      </c>
      <c r="K85" s="6">
        <f t="shared" si="10"/>
        <v>1183591.2700000003</v>
      </c>
      <c r="L85" s="6">
        <f t="shared" si="10"/>
        <v>1192963.7700000003</v>
      </c>
      <c r="M85" s="6">
        <f t="shared" si="10"/>
        <v>1107948.02</v>
      </c>
      <c r="N85" s="6">
        <f t="shared" si="10"/>
        <v>1258547.4900000002</v>
      </c>
      <c r="O85" s="6">
        <f t="shared" si="10"/>
        <v>1452724.7899999998</v>
      </c>
      <c r="P85" s="6">
        <f t="shared" si="10"/>
        <v>1384239.5399999998</v>
      </c>
      <c r="Q85" s="6">
        <f t="shared" si="10"/>
        <v>1283814.93</v>
      </c>
      <c r="R85" s="6">
        <f t="shared" si="10"/>
        <v>1248860.3499999999</v>
      </c>
      <c r="S85" s="6">
        <f t="shared" si="10"/>
        <v>890588.9800000001</v>
      </c>
      <c r="T85" s="6">
        <f t="shared" si="10"/>
        <v>913523.45000000007</v>
      </c>
      <c r="U85" s="17">
        <f>SUM(U71:U84)</f>
        <v>22934.47</v>
      </c>
      <c r="V85" s="45">
        <f t="shared" si="9"/>
        <v>2.5752025361912741E-2</v>
      </c>
    </row>
    <row r="86" spans="1:22" x14ac:dyDescent="0.2">
      <c r="C86" s="1"/>
      <c r="D86" s="1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8"/>
      <c r="V86" s="45"/>
    </row>
    <row r="87" spans="1:22" x14ac:dyDescent="0.2">
      <c r="C87" s="1"/>
      <c r="D87" s="5" t="s">
        <v>232</v>
      </c>
      <c r="E87" s="7">
        <f t="shared" ref="E87:U87" si="11">E26+E70+E85</f>
        <v>2229714.4</v>
      </c>
      <c r="F87" s="7">
        <f t="shared" si="11"/>
        <v>2516289.2199999997</v>
      </c>
      <c r="G87" s="7">
        <f t="shared" si="11"/>
        <v>3705076.2699999996</v>
      </c>
      <c r="H87" s="7">
        <f t="shared" si="11"/>
        <v>4215456.8299999991</v>
      </c>
      <c r="I87" s="7">
        <f t="shared" si="11"/>
        <v>3879036.11</v>
      </c>
      <c r="J87" s="7">
        <f t="shared" si="11"/>
        <v>4073893.08</v>
      </c>
      <c r="K87" s="7">
        <f t="shared" si="11"/>
        <v>4794356.08</v>
      </c>
      <c r="L87" s="7">
        <f t="shared" si="11"/>
        <v>4562080.4200000009</v>
      </c>
      <c r="M87" s="7">
        <f t="shared" si="11"/>
        <v>4039047.1300000004</v>
      </c>
      <c r="N87" s="7">
        <f t="shared" si="11"/>
        <v>4399753.9000000004</v>
      </c>
      <c r="O87" s="7">
        <f t="shared" si="11"/>
        <v>4675263.3499999987</v>
      </c>
      <c r="P87" s="7">
        <f t="shared" si="11"/>
        <v>4111887.34</v>
      </c>
      <c r="Q87" s="7">
        <f t="shared" si="11"/>
        <v>3519806.0599999996</v>
      </c>
      <c r="R87" s="7">
        <f t="shared" si="11"/>
        <v>3462191.2799999993</v>
      </c>
      <c r="S87" s="7">
        <f t="shared" si="11"/>
        <v>2652835.2600000002</v>
      </c>
      <c r="T87" s="7">
        <f t="shared" si="11"/>
        <v>2665580.9200000004</v>
      </c>
      <c r="U87" s="19">
        <f t="shared" si="11"/>
        <v>12745.660000000003</v>
      </c>
      <c r="V87" s="45">
        <f t="shared" ref="V87" si="12">U87/S87</f>
        <v>4.8045425934213504E-3</v>
      </c>
    </row>
    <row r="88" spans="1:22" x14ac:dyDescent="0.2">
      <c r="A88" s="3">
        <v>703000</v>
      </c>
      <c r="B88" s="3" t="s">
        <v>353</v>
      </c>
      <c r="C88" s="1">
        <v>711100</v>
      </c>
      <c r="D88" s="1" t="s">
        <v>68</v>
      </c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>
        <v>3636</v>
      </c>
      <c r="Q88" s="51">
        <v>2516</v>
      </c>
      <c r="R88" s="39">
        <v>1957</v>
      </c>
      <c r="S88" s="41">
        <v>1372</v>
      </c>
      <c r="T88" s="41">
        <v>4284</v>
      </c>
      <c r="U88" s="16">
        <f t="shared" ref="U88:U151" si="13">T88-S88</f>
        <v>2912</v>
      </c>
      <c r="V88" s="45">
        <f t="shared" ref="V88:V151" si="14">U88/S88</f>
        <v>2.1224489795918369</v>
      </c>
    </row>
    <row r="89" spans="1:22" x14ac:dyDescent="0.2">
      <c r="A89" s="3">
        <v>704200</v>
      </c>
      <c r="B89" s="3" t="s">
        <v>265</v>
      </c>
      <c r="C89" s="57">
        <v>711300</v>
      </c>
      <c r="D89" s="57" t="s">
        <v>265</v>
      </c>
      <c r="E89" s="22"/>
      <c r="F89" s="22">
        <v>46795</v>
      </c>
      <c r="G89" s="22">
        <v>15805</v>
      </c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22"/>
      <c r="T89" s="22">
        <v>10000</v>
      </c>
      <c r="U89" s="16">
        <f t="shared" si="13"/>
        <v>10000</v>
      </c>
      <c r="V89" s="45" t="e">
        <f t="shared" si="14"/>
        <v>#DIV/0!</v>
      </c>
    </row>
    <row r="90" spans="1:22" x14ac:dyDescent="0.2">
      <c r="A90" s="3">
        <v>704500</v>
      </c>
      <c r="B90" s="3" t="s">
        <v>354</v>
      </c>
      <c r="C90" s="57">
        <v>711405</v>
      </c>
      <c r="D90" s="57" t="s">
        <v>182</v>
      </c>
      <c r="E90" s="22">
        <v>41587</v>
      </c>
      <c r="F90" s="22">
        <v>19275</v>
      </c>
      <c r="G90" s="22">
        <v>30311.74</v>
      </c>
      <c r="H90" s="22">
        <v>10180</v>
      </c>
      <c r="I90" s="22">
        <v>49337</v>
      </c>
      <c r="J90" s="22"/>
      <c r="K90" s="22"/>
      <c r="L90" s="22"/>
      <c r="M90" s="22"/>
      <c r="N90" s="42"/>
      <c r="O90" s="42"/>
      <c r="P90" s="42"/>
      <c r="Q90" s="42"/>
      <c r="R90" s="42"/>
      <c r="S90" s="41">
        <f>25738-25738</f>
        <v>0</v>
      </c>
      <c r="T90" s="41">
        <f>30000-30000</f>
        <v>0</v>
      </c>
      <c r="U90" s="16">
        <f t="shared" si="13"/>
        <v>0</v>
      </c>
      <c r="V90" s="45" t="e">
        <f t="shared" si="14"/>
        <v>#DIV/0!</v>
      </c>
    </row>
    <row r="91" spans="1:22" x14ac:dyDescent="0.2">
      <c r="A91" s="3">
        <v>704600</v>
      </c>
      <c r="B91" s="3" t="s">
        <v>355</v>
      </c>
      <c r="C91" s="1">
        <v>711500</v>
      </c>
      <c r="D91" s="1" t="s">
        <v>69</v>
      </c>
      <c r="E91" s="22"/>
      <c r="F91" s="22"/>
      <c r="G91" s="22"/>
      <c r="H91" s="22"/>
      <c r="I91" s="22"/>
      <c r="J91" s="22"/>
      <c r="K91" s="22"/>
      <c r="L91" s="22"/>
      <c r="M91" s="22">
        <v>49121.700000000004</v>
      </c>
      <c r="N91" s="42">
        <v>1312.1000000000001</v>
      </c>
      <c r="O91" s="42"/>
      <c r="P91" s="42"/>
      <c r="Q91" s="42"/>
      <c r="R91" s="42"/>
      <c r="S91" s="42"/>
      <c r="T91" s="42"/>
      <c r="U91" s="16">
        <f t="shared" si="13"/>
        <v>0</v>
      </c>
      <c r="V91" s="45" t="e">
        <f t="shared" si="14"/>
        <v>#DIV/0!</v>
      </c>
    </row>
    <row r="92" spans="1:22" x14ac:dyDescent="0.2">
      <c r="A92" s="3">
        <v>702000</v>
      </c>
      <c r="B92" s="3" t="s">
        <v>266</v>
      </c>
      <c r="C92" s="57">
        <v>712100</v>
      </c>
      <c r="D92" s="57" t="s">
        <v>266</v>
      </c>
      <c r="E92" s="22"/>
      <c r="F92" s="22"/>
      <c r="G92" s="22"/>
      <c r="H92" s="22"/>
      <c r="I92" s="22"/>
      <c r="J92" s="22"/>
      <c r="K92" s="22">
        <v>265</v>
      </c>
      <c r="L92" s="22"/>
      <c r="M92" s="22"/>
      <c r="N92" s="43"/>
      <c r="O92" s="42"/>
      <c r="P92" s="42"/>
      <c r="Q92" s="42"/>
      <c r="R92" s="42"/>
      <c r="S92" s="42"/>
      <c r="T92" s="42"/>
      <c r="U92" s="16">
        <f t="shared" si="13"/>
        <v>0</v>
      </c>
      <c r="V92" s="45" t="e">
        <f t="shared" si="14"/>
        <v>#DIV/0!</v>
      </c>
    </row>
    <row r="93" spans="1:22" x14ac:dyDescent="0.2">
      <c r="A93" s="3">
        <v>702106</v>
      </c>
      <c r="B93" s="3" t="s">
        <v>351</v>
      </c>
      <c r="C93" s="1">
        <v>713100</v>
      </c>
      <c r="D93" s="1" t="s">
        <v>70</v>
      </c>
      <c r="E93" s="22">
        <v>259685.5</v>
      </c>
      <c r="F93" s="22">
        <v>66016.66</v>
      </c>
      <c r="G93" s="22">
        <v>164626.55000000005</v>
      </c>
      <c r="H93" s="22">
        <v>90622.99000000002</v>
      </c>
      <c r="I93" s="22">
        <v>197559.97999999998</v>
      </c>
      <c r="J93" s="22">
        <v>208837.24</v>
      </c>
      <c r="K93" s="22">
        <v>312890.27999999991</v>
      </c>
      <c r="L93" s="22">
        <v>281231.33999999997</v>
      </c>
      <c r="M93" s="22">
        <v>292271.15000000002</v>
      </c>
      <c r="N93" s="42">
        <v>230037.83000000005</v>
      </c>
      <c r="O93" s="42">
        <v>242702.65</v>
      </c>
      <c r="P93" s="42">
        <v>121592.43</v>
      </c>
      <c r="Q93" s="51">
        <v>142299.68999999997</v>
      </c>
      <c r="R93" s="39">
        <v>205879.98</v>
      </c>
      <c r="S93" s="41">
        <v>125684.44000000002</v>
      </c>
      <c r="T93" s="41">
        <v>1135.5999999999999</v>
      </c>
      <c r="U93" s="16">
        <f t="shared" si="13"/>
        <v>-124548.84000000001</v>
      </c>
      <c r="V93" s="45">
        <f t="shared" si="14"/>
        <v>-0.9909646731130759</v>
      </c>
    </row>
    <row r="94" spans="1:22" x14ac:dyDescent="0.2">
      <c r="A94" s="3">
        <v>702106</v>
      </c>
      <c r="B94" s="3" t="s">
        <v>351</v>
      </c>
      <c r="C94" s="1">
        <v>713101</v>
      </c>
      <c r="D94" s="1" t="s">
        <v>71</v>
      </c>
      <c r="E94" s="22">
        <v>248626.74</v>
      </c>
      <c r="F94" s="22">
        <v>237758.01</v>
      </c>
      <c r="G94" s="22">
        <v>240801.13</v>
      </c>
      <c r="H94" s="22">
        <v>206779.04</v>
      </c>
      <c r="I94" s="22">
        <v>82634.430000000008</v>
      </c>
      <c r="J94" s="22">
        <v>136581.91</v>
      </c>
      <c r="K94" s="22">
        <v>102674.36</v>
      </c>
      <c r="L94" s="22">
        <v>79382.3</v>
      </c>
      <c r="M94" s="22">
        <v>75765.010000000009</v>
      </c>
      <c r="N94" s="42">
        <v>81211.400000000009</v>
      </c>
      <c r="O94" s="42">
        <v>104704.05</v>
      </c>
      <c r="P94" s="42">
        <v>66652.25</v>
      </c>
      <c r="Q94" s="51">
        <v>54839.5</v>
      </c>
      <c r="R94" s="51"/>
      <c r="S94" s="51"/>
      <c r="T94" s="51"/>
      <c r="U94" s="16">
        <f t="shared" si="13"/>
        <v>0</v>
      </c>
      <c r="V94" s="45" t="e">
        <f t="shared" si="14"/>
        <v>#DIV/0!</v>
      </c>
    </row>
    <row r="95" spans="1:22" x14ac:dyDescent="0.2">
      <c r="A95" s="3">
        <v>702107</v>
      </c>
      <c r="B95" s="3" t="s">
        <v>183</v>
      </c>
      <c r="C95" s="57">
        <v>713105</v>
      </c>
      <c r="D95" s="57" t="s">
        <v>183</v>
      </c>
      <c r="E95" s="22"/>
      <c r="F95" s="22">
        <v>11.290000000000001</v>
      </c>
      <c r="G95" s="22"/>
      <c r="H95" s="22"/>
      <c r="I95" s="22"/>
      <c r="J95" s="22"/>
      <c r="K95" s="22"/>
      <c r="L95" s="22"/>
      <c r="M95" s="22"/>
      <c r="N95" s="43"/>
      <c r="O95" s="22"/>
      <c r="P95" s="22"/>
      <c r="Q95" s="22"/>
      <c r="R95" s="22"/>
      <c r="S95" s="22"/>
      <c r="T95" s="22"/>
      <c r="U95" s="16">
        <f t="shared" si="13"/>
        <v>0</v>
      </c>
      <c r="V95" s="45" t="e">
        <f t="shared" si="14"/>
        <v>#DIV/0!</v>
      </c>
    </row>
    <row r="96" spans="1:22" x14ac:dyDescent="0.2">
      <c r="A96" s="3">
        <v>702108</v>
      </c>
      <c r="B96" s="3" t="s">
        <v>184</v>
      </c>
      <c r="C96" s="57">
        <v>713110</v>
      </c>
      <c r="D96" s="57" t="s">
        <v>184</v>
      </c>
      <c r="E96" s="22"/>
      <c r="F96" s="22"/>
      <c r="G96" s="22"/>
      <c r="H96" s="22">
        <v>2520</v>
      </c>
      <c r="I96" s="22">
        <v>5592</v>
      </c>
      <c r="J96" s="22"/>
      <c r="K96" s="22">
        <v>8139</v>
      </c>
      <c r="L96" s="22"/>
      <c r="M96" s="22">
        <v>18251</v>
      </c>
      <c r="N96" s="42">
        <v>2171</v>
      </c>
      <c r="O96" s="42">
        <v>4342</v>
      </c>
      <c r="P96" s="42"/>
      <c r="Q96" s="42"/>
      <c r="R96" s="39">
        <v>20422</v>
      </c>
      <c r="S96" s="39"/>
      <c r="T96" s="39"/>
      <c r="U96" s="16">
        <f t="shared" si="13"/>
        <v>0</v>
      </c>
      <c r="V96" s="45" t="e">
        <f t="shared" si="14"/>
        <v>#DIV/0!</v>
      </c>
    </row>
    <row r="97" spans="1:22" x14ac:dyDescent="0.2">
      <c r="A97" s="3">
        <v>702109</v>
      </c>
      <c r="B97" s="3" t="s">
        <v>72</v>
      </c>
      <c r="C97" s="1">
        <v>713115</v>
      </c>
      <c r="D97" s="1" t="s">
        <v>72</v>
      </c>
      <c r="E97" s="22"/>
      <c r="F97" s="22"/>
      <c r="G97" s="22">
        <v>120.52</v>
      </c>
      <c r="H97" s="22"/>
      <c r="I97" s="22"/>
      <c r="J97" s="22"/>
      <c r="K97" s="22"/>
      <c r="L97" s="22"/>
      <c r="M97" s="22"/>
      <c r="N97" s="43"/>
      <c r="O97" s="42"/>
      <c r="P97" s="42"/>
      <c r="Q97" s="42"/>
      <c r="R97" s="42"/>
      <c r="S97" s="42"/>
      <c r="T97" s="42"/>
      <c r="U97" s="16">
        <f t="shared" si="13"/>
        <v>0</v>
      </c>
      <c r="V97" s="45" t="e">
        <f t="shared" si="14"/>
        <v>#DIV/0!</v>
      </c>
    </row>
    <row r="98" spans="1:22" x14ac:dyDescent="0.2">
      <c r="A98" s="3">
        <v>702111</v>
      </c>
      <c r="B98" s="3" t="s">
        <v>352</v>
      </c>
      <c r="C98" s="1">
        <v>713125</v>
      </c>
      <c r="D98" s="1" t="s">
        <v>73</v>
      </c>
      <c r="E98" s="22">
        <v>4402.46</v>
      </c>
      <c r="F98" s="22">
        <v>8681.4600000000009</v>
      </c>
      <c r="G98" s="22">
        <v>1887.62</v>
      </c>
      <c r="H98" s="22">
        <v>2489.4700000000003</v>
      </c>
      <c r="I98" s="22">
        <v>1197.52</v>
      </c>
      <c r="J98" s="22">
        <v>2802.38</v>
      </c>
      <c r="K98" s="22">
        <v>5014.1299999999992</v>
      </c>
      <c r="L98" s="22">
        <v>3568.13</v>
      </c>
      <c r="M98" s="22">
        <v>7026.51</v>
      </c>
      <c r="N98" s="42">
        <v>8443.49</v>
      </c>
      <c r="O98" s="42">
        <v>2301.66</v>
      </c>
      <c r="P98" s="42">
        <v>3150.1899999999996</v>
      </c>
      <c r="Q98" s="51">
        <v>8594.3200000000015</v>
      </c>
      <c r="R98" s="39">
        <v>4488.45</v>
      </c>
      <c r="S98" s="41">
        <v>4173.6000000000004</v>
      </c>
      <c r="T98" s="41">
        <v>1017.41</v>
      </c>
      <c r="U98" s="16">
        <f t="shared" si="13"/>
        <v>-3156.1900000000005</v>
      </c>
      <c r="V98" s="45">
        <f t="shared" si="14"/>
        <v>-0.75622723787617407</v>
      </c>
    </row>
    <row r="99" spans="1:22" x14ac:dyDescent="0.2">
      <c r="A99" s="3">
        <v>702104</v>
      </c>
      <c r="B99" s="3" t="s">
        <v>436</v>
      </c>
      <c r="C99" s="57">
        <v>713130</v>
      </c>
      <c r="D99" s="57" t="s">
        <v>186</v>
      </c>
      <c r="E99" s="22">
        <v>38.24</v>
      </c>
      <c r="F99" s="22"/>
      <c r="G99" s="22"/>
      <c r="H99" s="22"/>
      <c r="I99" s="22"/>
      <c r="J99" s="22"/>
      <c r="K99" s="22"/>
      <c r="L99" s="22"/>
      <c r="M99" s="22"/>
      <c r="N99" s="43"/>
      <c r="O99" s="42"/>
      <c r="P99" s="42"/>
      <c r="Q99" s="42"/>
      <c r="R99" s="42"/>
      <c r="S99" s="42"/>
      <c r="T99" s="42"/>
      <c r="U99" s="16">
        <f t="shared" si="13"/>
        <v>0</v>
      </c>
      <c r="V99" s="45" t="e">
        <f t="shared" si="14"/>
        <v>#DIV/0!</v>
      </c>
    </row>
    <row r="100" spans="1:22" x14ac:dyDescent="0.2">
      <c r="A100" s="3">
        <v>702200</v>
      </c>
      <c r="B100" s="3" t="s">
        <v>74</v>
      </c>
      <c r="C100" s="1">
        <v>713135</v>
      </c>
      <c r="D100" s="1" t="s">
        <v>74</v>
      </c>
      <c r="E100" s="22">
        <v>29246.099999999995</v>
      </c>
      <c r="F100" s="22">
        <v>39780.880000000005</v>
      </c>
      <c r="G100" s="22">
        <v>37255.569999999992</v>
      </c>
      <c r="H100" s="22">
        <v>44968.28</v>
      </c>
      <c r="I100" s="22">
        <v>58210.030000000006</v>
      </c>
      <c r="J100" s="22">
        <v>50011.010000000009</v>
      </c>
      <c r="K100" s="22">
        <v>33520.65</v>
      </c>
      <c r="L100" s="22">
        <v>37769.409999999996</v>
      </c>
      <c r="M100" s="22">
        <v>52859.090000000004</v>
      </c>
      <c r="N100" s="42">
        <v>53895.640000000014</v>
      </c>
      <c r="O100" s="42">
        <v>41444.230000000003</v>
      </c>
      <c r="P100" s="42">
        <v>45818.950000000004</v>
      </c>
      <c r="Q100" s="51">
        <v>26274.440000000002</v>
      </c>
      <c r="R100" s="39">
        <v>38262.020000000004</v>
      </c>
      <c r="S100" s="41">
        <v>40802.720000000001</v>
      </c>
      <c r="T100" s="41">
        <v>46722.829999999994</v>
      </c>
      <c r="U100" s="16">
        <f t="shared" si="13"/>
        <v>5920.1099999999933</v>
      </c>
      <c r="V100" s="45">
        <f t="shared" si="14"/>
        <v>0.14509106255661369</v>
      </c>
    </row>
    <row r="101" spans="1:22" x14ac:dyDescent="0.2">
      <c r="A101" s="3">
        <v>702103</v>
      </c>
      <c r="B101" s="3" t="s">
        <v>349</v>
      </c>
      <c r="C101" s="1">
        <v>713140</v>
      </c>
      <c r="D101" s="1" t="s">
        <v>75</v>
      </c>
      <c r="E101" s="22">
        <v>1305</v>
      </c>
      <c r="F101" s="22">
        <v>1305</v>
      </c>
      <c r="G101" s="22">
        <v>8995.5</v>
      </c>
      <c r="H101" s="22">
        <v>5000</v>
      </c>
      <c r="I101" s="22">
        <v>5000</v>
      </c>
      <c r="J101" s="22">
        <v>5500</v>
      </c>
      <c r="K101" s="22"/>
      <c r="L101" s="22"/>
      <c r="M101" s="22"/>
      <c r="N101" s="22"/>
      <c r="O101" s="22"/>
      <c r="P101" s="22"/>
      <c r="Q101" s="22"/>
      <c r="R101" s="22"/>
      <c r="S101" s="22"/>
      <c r="T101" s="22">
        <v>35</v>
      </c>
      <c r="U101" s="16">
        <f t="shared" si="13"/>
        <v>35</v>
      </c>
      <c r="V101" s="45" t="e">
        <f t="shared" si="14"/>
        <v>#DIV/0!</v>
      </c>
    </row>
    <row r="102" spans="1:22" x14ac:dyDescent="0.2">
      <c r="A102" s="3">
        <v>705700</v>
      </c>
      <c r="B102" s="3" t="s">
        <v>437</v>
      </c>
      <c r="C102" s="1">
        <v>713145</v>
      </c>
      <c r="D102" s="1" t="s">
        <v>76</v>
      </c>
      <c r="U102" s="16">
        <f t="shared" si="13"/>
        <v>0</v>
      </c>
      <c r="V102" s="45" t="e">
        <f t="shared" si="14"/>
        <v>#DIV/0!</v>
      </c>
    </row>
    <row r="103" spans="1:22" x14ac:dyDescent="0.2">
      <c r="A103" s="72">
        <v>702112</v>
      </c>
      <c r="B103" s="72" t="s">
        <v>438</v>
      </c>
      <c r="C103" s="72">
        <v>713150</v>
      </c>
      <c r="D103" s="72" t="s">
        <v>258</v>
      </c>
      <c r="T103" s="22">
        <v>6806.25</v>
      </c>
      <c r="U103" s="16">
        <f t="shared" si="13"/>
        <v>6806.25</v>
      </c>
      <c r="V103" s="45" t="e">
        <f t="shared" si="14"/>
        <v>#DIV/0!</v>
      </c>
    </row>
    <row r="104" spans="1:22" x14ac:dyDescent="0.2">
      <c r="A104" s="3">
        <v>701000</v>
      </c>
      <c r="B104" s="3" t="s">
        <v>77</v>
      </c>
      <c r="C104" s="1">
        <v>721100</v>
      </c>
      <c r="D104" s="1" t="s">
        <v>77</v>
      </c>
      <c r="E104" s="22"/>
      <c r="F104" s="22">
        <v>23803.79</v>
      </c>
      <c r="G104" s="22">
        <v>746.82999999999993</v>
      </c>
      <c r="H104" s="22">
        <v>0</v>
      </c>
      <c r="I104" s="22"/>
      <c r="J104" s="22"/>
      <c r="K104" s="22"/>
      <c r="L104" s="22"/>
      <c r="M104" s="22"/>
      <c r="N104" s="22"/>
      <c r="O104" s="22"/>
      <c r="P104" s="22"/>
      <c r="Q104" s="22"/>
      <c r="R104" s="22"/>
      <c r="S104" s="22"/>
      <c r="T104" s="22"/>
      <c r="U104" s="16">
        <f t="shared" si="13"/>
        <v>0</v>
      </c>
      <c r="V104" s="45" t="e">
        <f t="shared" si="14"/>
        <v>#DIV/0!</v>
      </c>
    </row>
    <row r="105" spans="1:22" x14ac:dyDescent="0.2">
      <c r="A105" s="3">
        <v>701001</v>
      </c>
      <c r="B105" s="3" t="s">
        <v>78</v>
      </c>
      <c r="C105" s="1">
        <v>721105</v>
      </c>
      <c r="D105" s="1" t="s">
        <v>78</v>
      </c>
      <c r="E105" s="22">
        <v>4958.62</v>
      </c>
      <c r="F105" s="22">
        <v>12534.220000000001</v>
      </c>
      <c r="G105" s="22">
        <v>29695.660000000003</v>
      </c>
      <c r="H105" s="22">
        <v>40061.97</v>
      </c>
      <c r="I105" s="22">
        <v>25228.49</v>
      </c>
      <c r="J105" s="22">
        <v>21113.599999999999</v>
      </c>
      <c r="K105" s="22">
        <v>27012.16</v>
      </c>
      <c r="L105" s="22">
        <v>23149.78</v>
      </c>
      <c r="M105" s="22">
        <v>12520.900000000001</v>
      </c>
      <c r="N105" s="42">
        <v>8861.01</v>
      </c>
      <c r="O105" s="42">
        <v>20227.629999999997</v>
      </c>
      <c r="P105" s="42">
        <v>19478.34</v>
      </c>
      <c r="Q105" s="51">
        <v>3096</v>
      </c>
      <c r="R105" s="39">
        <v>1526.83</v>
      </c>
      <c r="S105" s="41">
        <v>1055.74</v>
      </c>
      <c r="T105" s="41"/>
      <c r="U105" s="16">
        <f t="shared" si="13"/>
        <v>-1055.74</v>
      </c>
      <c r="V105" s="45">
        <f t="shared" si="14"/>
        <v>-1</v>
      </c>
    </row>
    <row r="106" spans="1:22" x14ac:dyDescent="0.2">
      <c r="A106" s="3">
        <v>701200</v>
      </c>
      <c r="B106" s="3" t="s">
        <v>338</v>
      </c>
      <c r="C106" s="1">
        <v>721110</v>
      </c>
      <c r="D106" s="1" t="s">
        <v>79</v>
      </c>
      <c r="N106" s="42"/>
      <c r="U106" s="16">
        <f t="shared" si="13"/>
        <v>0</v>
      </c>
      <c r="V106" s="45" t="e">
        <f t="shared" si="14"/>
        <v>#DIV/0!</v>
      </c>
    </row>
    <row r="107" spans="1:22" x14ac:dyDescent="0.2">
      <c r="A107" s="3">
        <v>701202</v>
      </c>
      <c r="B107" s="3" t="s">
        <v>80</v>
      </c>
      <c r="C107" s="1">
        <v>721115</v>
      </c>
      <c r="D107" s="1" t="s">
        <v>80</v>
      </c>
      <c r="E107" s="22">
        <v>1872</v>
      </c>
      <c r="F107" s="22">
        <v>1194.75</v>
      </c>
      <c r="G107" s="22">
        <v>76295</v>
      </c>
      <c r="H107" s="22">
        <v>90147.34</v>
      </c>
      <c r="I107" s="22">
        <v>409.67</v>
      </c>
      <c r="J107" s="22"/>
      <c r="K107" s="22">
        <v>2650.13</v>
      </c>
      <c r="L107" s="22">
        <v>1500</v>
      </c>
      <c r="M107" s="22"/>
      <c r="N107" s="42">
        <v>1116</v>
      </c>
      <c r="O107" s="42">
        <v>495</v>
      </c>
      <c r="P107" s="42"/>
      <c r="Q107" s="51">
        <v>1533.48</v>
      </c>
      <c r="R107" s="39">
        <v>3168.04</v>
      </c>
      <c r="S107" s="39"/>
      <c r="T107" s="39"/>
      <c r="U107" s="16">
        <f t="shared" si="13"/>
        <v>0</v>
      </c>
      <c r="V107" s="45" t="e">
        <f t="shared" si="14"/>
        <v>#DIV/0!</v>
      </c>
    </row>
    <row r="108" spans="1:22" x14ac:dyDescent="0.2">
      <c r="A108" s="3">
        <v>701404</v>
      </c>
      <c r="B108" s="3" t="s">
        <v>343</v>
      </c>
      <c r="C108" s="1">
        <v>721120</v>
      </c>
      <c r="D108" s="1" t="s">
        <v>81</v>
      </c>
      <c r="E108" s="22">
        <v>22786.82</v>
      </c>
      <c r="F108" s="22">
        <v>30930.9</v>
      </c>
      <c r="G108" s="22">
        <v>40865</v>
      </c>
      <c r="H108" s="22">
        <v>43638.909999999996</v>
      </c>
      <c r="I108" s="22">
        <v>23060.1</v>
      </c>
      <c r="J108" s="22">
        <v>15200.4</v>
      </c>
      <c r="K108" s="22">
        <v>6236.3</v>
      </c>
      <c r="L108" s="22">
        <v>19474.88</v>
      </c>
      <c r="M108" s="22">
        <v>28761</v>
      </c>
      <c r="N108" s="42">
        <v>16700</v>
      </c>
      <c r="O108" s="42">
        <v>22064</v>
      </c>
      <c r="P108" s="42">
        <v>30298.5</v>
      </c>
      <c r="Q108" s="51">
        <v>33869.9</v>
      </c>
      <c r="R108" s="39">
        <v>35117</v>
      </c>
      <c r="S108" s="41">
        <v>23285.3</v>
      </c>
      <c r="T108" s="41">
        <v>31390.7</v>
      </c>
      <c r="U108" s="16">
        <f t="shared" si="13"/>
        <v>8105.4000000000015</v>
      </c>
      <c r="V108" s="45">
        <f t="shared" si="14"/>
        <v>0.34809085560417952</v>
      </c>
    </row>
    <row r="109" spans="1:22" x14ac:dyDescent="0.2">
      <c r="A109" s="3">
        <v>701100</v>
      </c>
      <c r="B109" s="3" t="s">
        <v>337</v>
      </c>
      <c r="C109" s="1">
        <v>721125</v>
      </c>
      <c r="D109" s="1" t="s">
        <v>82</v>
      </c>
      <c r="E109" s="22">
        <v>28112.3</v>
      </c>
      <c r="F109" s="22">
        <v>31176.620000000003</v>
      </c>
      <c r="G109" s="22">
        <v>31100.880000000001</v>
      </c>
      <c r="H109" s="22">
        <v>49509.2</v>
      </c>
      <c r="I109" s="22">
        <v>26757.35</v>
      </c>
      <c r="J109" s="22">
        <v>18896.350000000002</v>
      </c>
      <c r="K109" s="22">
        <v>32447.65</v>
      </c>
      <c r="L109" s="22">
        <v>19688.989999999998</v>
      </c>
      <c r="M109" s="22">
        <v>34684.229999999996</v>
      </c>
      <c r="N109" s="42">
        <v>35623.08</v>
      </c>
      <c r="O109" s="42">
        <v>34140.890000000007</v>
      </c>
      <c r="P109" s="42">
        <v>8284.57</v>
      </c>
      <c r="Q109" s="51">
        <v>2706</v>
      </c>
      <c r="R109" s="39">
        <v>646.34</v>
      </c>
      <c r="S109" s="41">
        <v>141.62</v>
      </c>
      <c r="T109" s="41">
        <v>83.38</v>
      </c>
      <c r="U109" s="16">
        <f t="shared" si="13"/>
        <v>-58.240000000000009</v>
      </c>
      <c r="V109" s="45">
        <f t="shared" si="14"/>
        <v>-0.41124135009179502</v>
      </c>
    </row>
    <row r="110" spans="1:22" x14ac:dyDescent="0.2">
      <c r="A110" s="72">
        <v>701300</v>
      </c>
      <c r="B110" s="72" t="s">
        <v>276</v>
      </c>
      <c r="C110" s="72">
        <v>721130</v>
      </c>
      <c r="D110" s="72" t="s">
        <v>276</v>
      </c>
      <c r="E110" s="22"/>
      <c r="F110" s="22"/>
      <c r="G110" s="22"/>
      <c r="H110" s="22"/>
      <c r="I110" s="22"/>
      <c r="J110" s="22"/>
      <c r="K110" s="22"/>
      <c r="L110" s="22"/>
      <c r="M110" s="22"/>
      <c r="N110" s="42"/>
      <c r="O110" s="42"/>
      <c r="P110" s="42"/>
      <c r="Q110" s="51"/>
      <c r="R110" s="39"/>
      <c r="S110" s="41">
        <v>145.22999999999999</v>
      </c>
      <c r="T110" s="41"/>
      <c r="U110" s="16">
        <f t="shared" si="13"/>
        <v>-145.22999999999999</v>
      </c>
      <c r="V110" s="45">
        <f t="shared" si="14"/>
        <v>-1</v>
      </c>
    </row>
    <row r="111" spans="1:22" x14ac:dyDescent="0.2">
      <c r="A111" s="3">
        <v>701301</v>
      </c>
      <c r="B111" s="3" t="s">
        <v>339</v>
      </c>
      <c r="C111" s="1">
        <v>721135</v>
      </c>
      <c r="D111" s="1" t="s">
        <v>83</v>
      </c>
      <c r="N111" s="42"/>
      <c r="U111" s="16">
        <f t="shared" si="13"/>
        <v>0</v>
      </c>
      <c r="V111" s="45" t="e">
        <f t="shared" si="14"/>
        <v>#DIV/0!</v>
      </c>
    </row>
    <row r="112" spans="1:22" x14ac:dyDescent="0.2">
      <c r="A112" s="3">
        <v>701403</v>
      </c>
      <c r="B112" s="3" t="s">
        <v>342</v>
      </c>
      <c r="C112" s="1">
        <v>721140</v>
      </c>
      <c r="D112" s="1" t="s">
        <v>84</v>
      </c>
      <c r="E112" s="22">
        <v>18477.609999999997</v>
      </c>
      <c r="F112" s="22">
        <v>5479.2300000000005</v>
      </c>
      <c r="G112" s="22">
        <v>45359.58</v>
      </c>
      <c r="H112" s="22">
        <v>19873.41</v>
      </c>
      <c r="I112" s="22">
        <v>21445.280000000002</v>
      </c>
      <c r="J112" s="22">
        <v>15844.46</v>
      </c>
      <c r="K112" s="22">
        <v>22438.449999999997</v>
      </c>
      <c r="L112" s="22">
        <v>171769.90999999997</v>
      </c>
      <c r="M112" s="22">
        <v>31685.34</v>
      </c>
      <c r="N112" s="42">
        <v>13679.18</v>
      </c>
      <c r="O112" s="42">
        <v>6646.99</v>
      </c>
      <c r="P112" s="42">
        <v>24483.38</v>
      </c>
      <c r="Q112" s="51">
        <v>84287.090000000011</v>
      </c>
      <c r="R112" s="39">
        <v>364094.51</v>
      </c>
      <c r="S112" s="41">
        <v>-3043.43</v>
      </c>
      <c r="T112" s="41">
        <v>9912.2099999999991</v>
      </c>
      <c r="U112" s="16">
        <f t="shared" si="13"/>
        <v>12955.64</v>
      </c>
      <c r="V112" s="45">
        <f t="shared" si="14"/>
        <v>-4.2569206454559492</v>
      </c>
    </row>
    <row r="113" spans="1:22" x14ac:dyDescent="0.2">
      <c r="A113" s="3">
        <v>701302</v>
      </c>
      <c r="B113" s="3" t="s">
        <v>340</v>
      </c>
      <c r="C113" s="1">
        <v>721145</v>
      </c>
      <c r="D113" s="1" t="s">
        <v>85</v>
      </c>
      <c r="E113" s="22">
        <v>539362.56000000006</v>
      </c>
      <c r="F113" s="22">
        <v>612619.91</v>
      </c>
      <c r="G113" s="22">
        <v>764483.52</v>
      </c>
      <c r="H113" s="22">
        <v>1105119.3799999999</v>
      </c>
      <c r="I113" s="22">
        <v>867706.42999999993</v>
      </c>
      <c r="J113" s="22">
        <v>872612.93</v>
      </c>
      <c r="K113" s="22">
        <v>813126.67</v>
      </c>
      <c r="L113" s="22">
        <v>837476.34000000008</v>
      </c>
      <c r="M113" s="22">
        <v>846014.28</v>
      </c>
      <c r="N113" s="42">
        <v>750580.71000000008</v>
      </c>
      <c r="O113" s="42">
        <v>669117.68000000005</v>
      </c>
      <c r="P113" s="42">
        <v>458111.99</v>
      </c>
      <c r="Q113" s="51">
        <v>429728.63</v>
      </c>
      <c r="R113" s="39">
        <v>235479.27000000002</v>
      </c>
      <c r="S113" s="41">
        <v>438712.34</v>
      </c>
      <c r="T113" s="41">
        <v>224195.8</v>
      </c>
      <c r="U113" s="16">
        <f t="shared" si="13"/>
        <v>-214516.54000000004</v>
      </c>
      <c r="V113" s="45">
        <f t="shared" si="14"/>
        <v>-0.48896855739229955</v>
      </c>
    </row>
    <row r="114" spans="1:22" x14ac:dyDescent="0.2">
      <c r="A114" s="3">
        <v>701400</v>
      </c>
      <c r="B114" s="3" t="s">
        <v>341</v>
      </c>
      <c r="C114" s="1">
        <v>721146</v>
      </c>
      <c r="D114" s="1" t="s">
        <v>86</v>
      </c>
      <c r="E114" s="22">
        <v>3100</v>
      </c>
      <c r="F114" s="22">
        <v>4398</v>
      </c>
      <c r="G114" s="22">
        <v>7750</v>
      </c>
      <c r="H114" s="22">
        <v>19024</v>
      </c>
      <c r="I114" s="22"/>
      <c r="J114" s="22">
        <v>8422.5</v>
      </c>
      <c r="K114" s="22">
        <v>5452</v>
      </c>
      <c r="L114" s="22">
        <v>5300</v>
      </c>
      <c r="M114" s="22">
        <v>4450</v>
      </c>
      <c r="N114" s="42">
        <v>2075</v>
      </c>
      <c r="O114" s="42">
        <v>4700</v>
      </c>
      <c r="P114" s="42">
        <v>1600</v>
      </c>
      <c r="Q114" s="51">
        <v>5445</v>
      </c>
      <c r="R114" s="69">
        <v>5600</v>
      </c>
      <c r="S114" s="41">
        <v>1350</v>
      </c>
      <c r="T114" s="41">
        <v>50</v>
      </c>
      <c r="U114" s="16">
        <f t="shared" si="13"/>
        <v>-1300</v>
      </c>
      <c r="V114" s="45">
        <f t="shared" si="14"/>
        <v>-0.96296296296296291</v>
      </c>
    </row>
    <row r="115" spans="1:22" x14ac:dyDescent="0.2">
      <c r="A115" s="3">
        <v>701406</v>
      </c>
      <c r="B115" s="3" t="s">
        <v>345</v>
      </c>
      <c r="C115" s="1">
        <v>721150</v>
      </c>
      <c r="D115" s="1" t="s">
        <v>87</v>
      </c>
      <c r="E115" s="22">
        <v>13935</v>
      </c>
      <c r="F115" s="22">
        <v>16285</v>
      </c>
      <c r="G115" s="22">
        <v>6895</v>
      </c>
      <c r="H115" s="22">
        <v>60575</v>
      </c>
      <c r="I115" s="22">
        <v>4524.17</v>
      </c>
      <c r="J115" s="22">
        <v>6010</v>
      </c>
      <c r="K115" s="22">
        <v>11507.5</v>
      </c>
      <c r="L115" s="22">
        <v>14572.5</v>
      </c>
      <c r="M115" s="22">
        <v>52767</v>
      </c>
      <c r="N115" s="42">
        <v>5358.04</v>
      </c>
      <c r="O115" s="42">
        <v>7239.9000000000005</v>
      </c>
      <c r="P115" s="42">
        <v>11498.470000000001</v>
      </c>
      <c r="Q115" s="51">
        <v>57857.69</v>
      </c>
      <c r="R115" s="39">
        <v>151492.97</v>
      </c>
      <c r="S115" s="41">
        <v>21306.98</v>
      </c>
      <c r="T115" s="41">
        <v>4198</v>
      </c>
      <c r="U115" s="16">
        <f t="shared" si="13"/>
        <v>-17108.98</v>
      </c>
      <c r="V115" s="45">
        <f t="shared" si="14"/>
        <v>-0.80297536300310979</v>
      </c>
    </row>
    <row r="116" spans="1:22" x14ac:dyDescent="0.2">
      <c r="A116" s="3">
        <v>701406</v>
      </c>
      <c r="B116" s="3" t="s">
        <v>345</v>
      </c>
      <c r="C116" s="57">
        <v>721152</v>
      </c>
      <c r="D116" s="57" t="s">
        <v>187</v>
      </c>
      <c r="E116" s="22"/>
      <c r="F116" s="22"/>
      <c r="G116" s="22"/>
      <c r="H116" s="22">
        <v>5057.5</v>
      </c>
      <c r="I116" s="22">
        <v>46157</v>
      </c>
      <c r="J116" s="22">
        <v>29847</v>
      </c>
      <c r="K116" s="22">
        <v>21168</v>
      </c>
      <c r="L116" s="22"/>
      <c r="M116" s="22"/>
      <c r="N116" s="22"/>
      <c r="O116" s="22"/>
      <c r="P116" s="22"/>
      <c r="Q116" s="51">
        <v>2999.9700000000003</v>
      </c>
      <c r="R116" s="51"/>
      <c r="S116" s="51"/>
      <c r="T116" s="51"/>
      <c r="U116" s="16">
        <f t="shared" si="13"/>
        <v>0</v>
      </c>
      <c r="V116" s="45" t="e">
        <f t="shared" si="14"/>
        <v>#DIV/0!</v>
      </c>
    </row>
    <row r="117" spans="1:22" x14ac:dyDescent="0.2">
      <c r="A117" s="3">
        <v>701303</v>
      </c>
      <c r="B117" s="3" t="s">
        <v>439</v>
      </c>
      <c r="C117" s="57">
        <v>721155</v>
      </c>
      <c r="D117" s="57" t="s">
        <v>259</v>
      </c>
      <c r="E117" s="22"/>
      <c r="F117" s="22"/>
      <c r="G117" s="22"/>
      <c r="H117" s="22">
        <v>23099.670000000002</v>
      </c>
      <c r="I117" s="22">
        <v>6999.9</v>
      </c>
      <c r="J117" s="22"/>
      <c r="K117" s="22"/>
      <c r="L117" s="22"/>
      <c r="M117" s="22">
        <v>48939.55</v>
      </c>
      <c r="N117" s="42">
        <v>108949.41</v>
      </c>
      <c r="O117" s="22"/>
      <c r="P117" s="22"/>
      <c r="Q117" s="22"/>
      <c r="R117" s="22"/>
      <c r="S117" s="22"/>
      <c r="T117" s="22"/>
      <c r="U117" s="16">
        <f t="shared" si="13"/>
        <v>0</v>
      </c>
      <c r="V117" s="45" t="e">
        <f t="shared" si="14"/>
        <v>#DIV/0!</v>
      </c>
    </row>
    <row r="118" spans="1:22" x14ac:dyDescent="0.2">
      <c r="A118" s="3">
        <v>701405</v>
      </c>
      <c r="B118" s="3" t="s">
        <v>344</v>
      </c>
      <c r="C118" s="1">
        <v>721160</v>
      </c>
      <c r="D118" s="1" t="s">
        <v>88</v>
      </c>
      <c r="E118" s="22"/>
      <c r="F118" s="22"/>
      <c r="G118" s="22"/>
      <c r="H118" s="22">
        <v>712</v>
      </c>
      <c r="I118" s="22"/>
      <c r="J118" s="22"/>
      <c r="K118" s="22"/>
      <c r="L118" s="22"/>
      <c r="M118" s="22"/>
      <c r="N118" s="22"/>
      <c r="O118" s="22"/>
      <c r="P118" s="22"/>
      <c r="Q118" s="22"/>
      <c r="R118" s="22"/>
      <c r="S118" s="22"/>
      <c r="T118" s="22">
        <v>9966</v>
      </c>
      <c r="U118" s="16">
        <f t="shared" si="13"/>
        <v>9966</v>
      </c>
      <c r="V118" s="45" t="e">
        <f t="shared" si="14"/>
        <v>#DIV/0!</v>
      </c>
    </row>
    <row r="119" spans="1:22" x14ac:dyDescent="0.2">
      <c r="A119" s="3">
        <v>701500</v>
      </c>
      <c r="B119" s="3" t="s">
        <v>346</v>
      </c>
      <c r="C119" s="1">
        <v>722100</v>
      </c>
      <c r="D119" s="1" t="s">
        <v>89</v>
      </c>
      <c r="E119" s="22">
        <v>7980.01</v>
      </c>
      <c r="F119" s="22">
        <v>10538.51</v>
      </c>
      <c r="G119" s="22">
        <v>17369.95</v>
      </c>
      <c r="H119" s="22">
        <v>20552.2</v>
      </c>
      <c r="I119" s="22">
        <v>20552.830000000002</v>
      </c>
      <c r="J119" s="22">
        <v>30464.83</v>
      </c>
      <c r="K119" s="22">
        <v>12068.939999999999</v>
      </c>
      <c r="L119" s="22">
        <v>23349.74</v>
      </c>
      <c r="M119" s="22">
        <v>11492.65</v>
      </c>
      <c r="N119" s="42">
        <v>5943.2300000000005</v>
      </c>
      <c r="O119" s="42">
        <v>7732.27</v>
      </c>
      <c r="P119" s="42">
        <v>5564.3899999999994</v>
      </c>
      <c r="Q119" s="51">
        <v>11265.710000000001</v>
      </c>
      <c r="R119" s="39">
        <v>4114.8999999999996</v>
      </c>
      <c r="S119" s="41">
        <v>4299.9799999999996</v>
      </c>
      <c r="T119" s="41">
        <v>1509.1200000000001</v>
      </c>
      <c r="U119" s="16">
        <f t="shared" si="13"/>
        <v>-2790.8599999999997</v>
      </c>
      <c r="V119" s="45">
        <f t="shared" si="14"/>
        <v>-0.64904022809408413</v>
      </c>
    </row>
    <row r="120" spans="1:22" x14ac:dyDescent="0.2">
      <c r="A120" s="3">
        <v>701501</v>
      </c>
      <c r="B120" s="3" t="s">
        <v>90</v>
      </c>
      <c r="C120" s="1">
        <v>722105</v>
      </c>
      <c r="D120" s="1" t="s">
        <v>90</v>
      </c>
      <c r="E120" s="22">
        <v>303.14</v>
      </c>
      <c r="F120" s="22">
        <v>468.5</v>
      </c>
      <c r="G120" s="22">
        <v>394.76</v>
      </c>
      <c r="H120" s="22">
        <v>624.70000000000005</v>
      </c>
      <c r="I120" s="22">
        <v>2305.2600000000002</v>
      </c>
      <c r="J120" s="22">
        <v>603.70000000000005</v>
      </c>
      <c r="K120" s="22">
        <v>1218.54</v>
      </c>
      <c r="L120" s="22">
        <v>1370.5</v>
      </c>
      <c r="M120" s="22">
        <v>710.78</v>
      </c>
      <c r="N120" s="42">
        <v>1117.08</v>
      </c>
      <c r="O120" s="42">
        <v>1131</v>
      </c>
      <c r="P120" s="42">
        <v>548.92000000000007</v>
      </c>
      <c r="Q120" s="51">
        <v>5255.85</v>
      </c>
      <c r="R120" s="39">
        <v>510.95000000000005</v>
      </c>
      <c r="S120" s="39"/>
      <c r="T120" s="39">
        <v>3145</v>
      </c>
      <c r="U120" s="16">
        <f t="shared" si="13"/>
        <v>3145</v>
      </c>
      <c r="V120" s="45" t="e">
        <f t="shared" si="14"/>
        <v>#DIV/0!</v>
      </c>
    </row>
    <row r="121" spans="1:22" x14ac:dyDescent="0.2">
      <c r="A121" s="3">
        <v>701502</v>
      </c>
      <c r="B121" s="3" t="s">
        <v>91</v>
      </c>
      <c r="C121" s="1">
        <v>722110</v>
      </c>
      <c r="D121" s="1" t="s">
        <v>91</v>
      </c>
      <c r="E121" s="22">
        <v>301.49</v>
      </c>
      <c r="F121" s="22">
        <v>567.06000000000006</v>
      </c>
      <c r="G121" s="22">
        <v>1500</v>
      </c>
      <c r="H121" s="22">
        <v>1500</v>
      </c>
      <c r="I121" s="22">
        <v>1600</v>
      </c>
      <c r="J121" s="22">
        <v>2500</v>
      </c>
      <c r="K121" s="22">
        <v>5000</v>
      </c>
      <c r="L121" s="22">
        <v>1500</v>
      </c>
      <c r="M121" s="22">
        <v>2077.12</v>
      </c>
      <c r="N121" s="42">
        <v>1698</v>
      </c>
      <c r="O121" s="42">
        <v>1500</v>
      </c>
      <c r="P121" s="42">
        <v>2224</v>
      </c>
      <c r="Q121" s="51">
        <v>2000</v>
      </c>
      <c r="R121" s="39">
        <v>490</v>
      </c>
      <c r="S121" s="39"/>
      <c r="T121" s="39">
        <v>205</v>
      </c>
      <c r="U121" s="16">
        <f t="shared" si="13"/>
        <v>205</v>
      </c>
      <c r="V121" s="45" t="e">
        <f t="shared" si="14"/>
        <v>#DIV/0!</v>
      </c>
    </row>
    <row r="122" spans="1:22" x14ac:dyDescent="0.2">
      <c r="A122" s="3">
        <v>701600</v>
      </c>
      <c r="B122" s="3" t="s">
        <v>92</v>
      </c>
      <c r="C122" s="1">
        <v>723100</v>
      </c>
      <c r="D122" s="1" t="s">
        <v>92</v>
      </c>
      <c r="T122" s="41">
        <v>25</v>
      </c>
      <c r="U122" s="16">
        <f t="shared" si="13"/>
        <v>25</v>
      </c>
      <c r="V122" s="45" t="e">
        <f t="shared" si="14"/>
        <v>#DIV/0!</v>
      </c>
    </row>
    <row r="123" spans="1:22" x14ac:dyDescent="0.2">
      <c r="A123" s="3">
        <v>701601</v>
      </c>
      <c r="B123" s="3" t="s">
        <v>267</v>
      </c>
      <c r="C123" s="57">
        <v>723110</v>
      </c>
      <c r="D123" s="57" t="s">
        <v>267</v>
      </c>
      <c r="E123" s="22">
        <v>18340.87</v>
      </c>
      <c r="F123" s="22"/>
      <c r="G123" s="22"/>
      <c r="H123" s="22"/>
      <c r="I123" s="22"/>
      <c r="J123" s="22"/>
      <c r="K123" s="22"/>
      <c r="L123" s="22"/>
      <c r="M123" s="22"/>
      <c r="N123" s="22"/>
      <c r="O123" s="22"/>
      <c r="P123" s="22"/>
      <c r="Q123" s="22"/>
      <c r="R123" s="22"/>
      <c r="S123" s="22"/>
      <c r="T123" s="22"/>
      <c r="U123" s="16">
        <f t="shared" si="13"/>
        <v>0</v>
      </c>
      <c r="V123" s="45" t="e">
        <f t="shared" si="14"/>
        <v>#DIV/0!</v>
      </c>
    </row>
    <row r="124" spans="1:22" x14ac:dyDescent="0.2">
      <c r="A124" s="3">
        <v>701602</v>
      </c>
      <c r="B124" s="3" t="s">
        <v>93</v>
      </c>
      <c r="C124" s="1">
        <v>723120</v>
      </c>
      <c r="D124" s="1" t="s">
        <v>93</v>
      </c>
      <c r="U124" s="16">
        <f t="shared" si="13"/>
        <v>0</v>
      </c>
      <c r="V124" s="45" t="e">
        <f t="shared" si="14"/>
        <v>#DIV/0!</v>
      </c>
    </row>
    <row r="125" spans="1:22" x14ac:dyDescent="0.2">
      <c r="A125" s="3">
        <v>701603</v>
      </c>
      <c r="B125" s="3" t="s">
        <v>94</v>
      </c>
      <c r="C125" s="1">
        <v>723130</v>
      </c>
      <c r="D125" s="1" t="s">
        <v>94</v>
      </c>
      <c r="E125" s="22">
        <v>28409.199999999997</v>
      </c>
      <c r="F125" s="22">
        <v>64946.729999999996</v>
      </c>
      <c r="G125" s="22">
        <v>66054.03</v>
      </c>
      <c r="H125" s="22">
        <v>34491.64</v>
      </c>
      <c r="I125" s="22">
        <v>63905.270000000004</v>
      </c>
      <c r="J125" s="22">
        <v>69680</v>
      </c>
      <c r="K125" s="22">
        <v>109384.48999999999</v>
      </c>
      <c r="L125" s="22">
        <v>70206.31</v>
      </c>
      <c r="M125" s="22">
        <v>121817.75</v>
      </c>
      <c r="N125" s="42">
        <v>63067.119999999995</v>
      </c>
      <c r="O125" s="42">
        <v>56558.450000000004</v>
      </c>
      <c r="P125" s="42">
        <v>26670.269999999997</v>
      </c>
      <c r="Q125" s="51">
        <v>65554.509999999995</v>
      </c>
      <c r="R125" s="39">
        <v>16834.500000000004</v>
      </c>
      <c r="S125" s="41">
        <v>51672.25</v>
      </c>
      <c r="T125" s="41">
        <v>3702.81</v>
      </c>
      <c r="U125" s="16">
        <f t="shared" si="13"/>
        <v>-47969.440000000002</v>
      </c>
      <c r="V125" s="45">
        <f t="shared" si="14"/>
        <v>-0.92834045353163452</v>
      </c>
    </row>
    <row r="126" spans="1:22" x14ac:dyDescent="0.2">
      <c r="A126" s="72">
        <v>705001</v>
      </c>
      <c r="B126" s="72" t="s">
        <v>357</v>
      </c>
      <c r="C126" s="72">
        <v>731100</v>
      </c>
      <c r="D126" s="72" t="s">
        <v>188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42"/>
      <c r="O126" s="42"/>
      <c r="P126" s="42"/>
      <c r="Q126" s="51"/>
      <c r="R126" s="39"/>
      <c r="S126" s="41">
        <v>23.78</v>
      </c>
      <c r="T126" s="41"/>
      <c r="U126" s="16">
        <f t="shared" si="13"/>
        <v>-23.78</v>
      </c>
      <c r="V126" s="45">
        <f t="shared" si="14"/>
        <v>-1</v>
      </c>
    </row>
    <row r="127" spans="1:22" x14ac:dyDescent="0.2">
      <c r="A127" s="3">
        <v>705101</v>
      </c>
      <c r="B127" s="3" t="s">
        <v>361</v>
      </c>
      <c r="C127" s="1">
        <v>731105</v>
      </c>
      <c r="D127" s="1" t="s">
        <v>189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42"/>
      <c r="O127" s="42"/>
      <c r="P127" s="42"/>
      <c r="Q127" s="51">
        <v>1250</v>
      </c>
      <c r="R127" s="51"/>
      <c r="S127" s="51"/>
      <c r="T127" s="51"/>
      <c r="U127" s="16">
        <f t="shared" si="13"/>
        <v>0</v>
      </c>
      <c r="V127" s="45" t="e">
        <f t="shared" si="14"/>
        <v>#DIV/0!</v>
      </c>
    </row>
    <row r="128" spans="1:22" x14ac:dyDescent="0.2">
      <c r="A128" s="3">
        <v>705102</v>
      </c>
      <c r="B128" s="3" t="s">
        <v>362</v>
      </c>
      <c r="C128" s="1">
        <v>731205</v>
      </c>
      <c r="D128" s="1" t="s">
        <v>95</v>
      </c>
      <c r="E128" s="22"/>
      <c r="F128" s="22">
        <v>95</v>
      </c>
      <c r="G128" s="22">
        <v>283.03000000000003</v>
      </c>
      <c r="H128" s="22"/>
      <c r="I128" s="22"/>
      <c r="J128" s="22"/>
      <c r="K128" s="22"/>
      <c r="L128" s="22"/>
      <c r="M128" s="22"/>
      <c r="N128" s="22"/>
      <c r="O128" s="22"/>
      <c r="P128" s="22"/>
      <c r="U128" s="16">
        <f t="shared" si="13"/>
        <v>0</v>
      </c>
      <c r="V128" s="45" t="e">
        <f t="shared" si="14"/>
        <v>#DIV/0!</v>
      </c>
    </row>
    <row r="129" spans="1:22" x14ac:dyDescent="0.2">
      <c r="A129" s="3">
        <v>705000</v>
      </c>
      <c r="B129" s="3" t="s">
        <v>356</v>
      </c>
      <c r="C129" s="1">
        <v>732100</v>
      </c>
      <c r="D129" s="1" t="s">
        <v>96</v>
      </c>
      <c r="E129" s="22">
        <v>8948.59</v>
      </c>
      <c r="F129" s="22">
        <v>9290.41</v>
      </c>
      <c r="G129" s="22">
        <v>22734.700000000004</v>
      </c>
      <c r="H129" s="22">
        <v>34206.299999999996</v>
      </c>
      <c r="I129" s="22">
        <v>23482.21</v>
      </c>
      <c r="J129" s="22">
        <v>22934.379999999997</v>
      </c>
      <c r="K129" s="22">
        <v>28657.120000000006</v>
      </c>
      <c r="L129" s="22">
        <v>73502.460000000006</v>
      </c>
      <c r="M129" s="22">
        <v>44972.6</v>
      </c>
      <c r="N129" s="42">
        <v>19291.54</v>
      </c>
      <c r="O129" s="42">
        <v>16459.330000000002</v>
      </c>
      <c r="P129" s="42">
        <v>10270.779999999999</v>
      </c>
      <c r="Q129" s="51">
        <v>9326.4500000000007</v>
      </c>
      <c r="R129" s="39">
        <v>9387.66</v>
      </c>
      <c r="S129" s="41">
        <v>5972.7899999999991</v>
      </c>
      <c r="T129" s="41">
        <v>1312.74</v>
      </c>
      <c r="U129" s="16">
        <f t="shared" si="13"/>
        <v>-4660.0499999999993</v>
      </c>
      <c r="V129" s="45">
        <f t="shared" si="14"/>
        <v>-0.78021326716660055</v>
      </c>
    </row>
    <row r="130" spans="1:22" x14ac:dyDescent="0.2">
      <c r="A130" s="3">
        <v>705100</v>
      </c>
      <c r="B130" s="3" t="s">
        <v>360</v>
      </c>
      <c r="C130" s="1">
        <v>732105</v>
      </c>
      <c r="D130" s="1" t="s">
        <v>97</v>
      </c>
      <c r="E130" s="22">
        <v>55200.920000000013</v>
      </c>
      <c r="F130" s="22">
        <v>83147.49000000002</v>
      </c>
      <c r="G130" s="22">
        <v>116837.75000000003</v>
      </c>
      <c r="H130" s="22">
        <v>198510.72</v>
      </c>
      <c r="I130" s="22">
        <v>265830.16000000003</v>
      </c>
      <c r="J130" s="22">
        <v>417497.43000000005</v>
      </c>
      <c r="K130" s="22">
        <v>460434.22</v>
      </c>
      <c r="L130" s="22">
        <v>440497.2</v>
      </c>
      <c r="M130" s="22">
        <v>444605.22999999992</v>
      </c>
      <c r="N130" s="42">
        <v>246295.82999999996</v>
      </c>
      <c r="O130" s="42">
        <v>200611.55999999997</v>
      </c>
      <c r="P130" s="42">
        <v>194767.70999999993</v>
      </c>
      <c r="Q130" s="51">
        <v>245594.84000000003</v>
      </c>
      <c r="R130" s="39">
        <v>157365.94</v>
      </c>
      <c r="S130" s="41">
        <v>91104.81</v>
      </c>
      <c r="T130" s="41">
        <v>12161.95</v>
      </c>
      <c r="U130" s="16">
        <f t="shared" si="13"/>
        <v>-78942.86</v>
      </c>
      <c r="V130" s="45">
        <f t="shared" si="14"/>
        <v>-0.86650595067373504</v>
      </c>
    </row>
    <row r="131" spans="1:22" x14ac:dyDescent="0.2">
      <c r="A131" s="3">
        <v>705300</v>
      </c>
      <c r="B131" s="3" t="s">
        <v>98</v>
      </c>
      <c r="C131" s="1">
        <v>732110</v>
      </c>
      <c r="D131" s="1" t="s">
        <v>98</v>
      </c>
      <c r="E131" s="22">
        <v>449512.67999999993</v>
      </c>
      <c r="F131" s="22">
        <v>579916.35000000009</v>
      </c>
      <c r="G131" s="22">
        <v>733291.0199999999</v>
      </c>
      <c r="H131" s="22">
        <v>688436.57000000007</v>
      </c>
      <c r="I131" s="22">
        <v>571296.96000000008</v>
      </c>
      <c r="J131" s="22">
        <v>558281.73</v>
      </c>
      <c r="K131" s="22">
        <v>389011.86</v>
      </c>
      <c r="L131" s="22">
        <v>756006.73</v>
      </c>
      <c r="M131" s="22">
        <v>650239.36</v>
      </c>
      <c r="N131" s="42">
        <v>1069351.17</v>
      </c>
      <c r="O131" s="42">
        <v>772601.8</v>
      </c>
      <c r="P131" s="42">
        <v>642657.66</v>
      </c>
      <c r="Q131" s="51">
        <v>607646.46</v>
      </c>
      <c r="R131" s="39">
        <v>342618.13999999996</v>
      </c>
      <c r="S131" s="41">
        <v>244485.5</v>
      </c>
      <c r="T131" s="41">
        <v>31927.09</v>
      </c>
      <c r="U131" s="16">
        <f t="shared" si="13"/>
        <v>-212558.41</v>
      </c>
      <c r="V131" s="45">
        <f t="shared" si="14"/>
        <v>-0.86941111027034323</v>
      </c>
    </row>
    <row r="132" spans="1:22" x14ac:dyDescent="0.2">
      <c r="A132" s="3">
        <v>705500</v>
      </c>
      <c r="B132" s="3" t="s">
        <v>363</v>
      </c>
      <c r="C132" s="1">
        <v>732115</v>
      </c>
      <c r="D132" s="1" t="s">
        <v>99</v>
      </c>
      <c r="E132" s="22"/>
      <c r="F132" s="22"/>
      <c r="G132" s="22"/>
      <c r="H132" s="22"/>
      <c r="I132" s="22">
        <v>127.74000000000001</v>
      </c>
      <c r="J132" s="22"/>
      <c r="K132" s="22">
        <v>123.32000000000001</v>
      </c>
      <c r="L132" s="22"/>
      <c r="M132" s="22"/>
      <c r="N132" s="42">
        <v>115.13</v>
      </c>
      <c r="O132" s="42">
        <v>132</v>
      </c>
      <c r="P132" s="42"/>
      <c r="Q132" s="51">
        <v>121.37</v>
      </c>
      <c r="R132" s="39">
        <v>190.47</v>
      </c>
      <c r="S132" s="41">
        <v>136.28</v>
      </c>
      <c r="T132" s="41"/>
      <c r="U132" s="16">
        <f t="shared" si="13"/>
        <v>-136.28</v>
      </c>
      <c r="V132" s="45">
        <f t="shared" si="14"/>
        <v>-1</v>
      </c>
    </row>
    <row r="133" spans="1:22" x14ac:dyDescent="0.2">
      <c r="A133" s="3">
        <v>705003</v>
      </c>
      <c r="B133" s="3" t="s">
        <v>359</v>
      </c>
      <c r="C133" s="1">
        <v>732200</v>
      </c>
      <c r="D133" s="1" t="s">
        <v>100</v>
      </c>
      <c r="E133" s="22"/>
      <c r="F133" s="22"/>
      <c r="G133" s="22"/>
      <c r="H133" s="22"/>
      <c r="I133" s="22"/>
      <c r="J133" s="22">
        <v>450</v>
      </c>
      <c r="K133" s="22">
        <v>890</v>
      </c>
      <c r="L133" s="22"/>
      <c r="M133" s="22">
        <v>5800</v>
      </c>
      <c r="N133" s="42">
        <v>3500</v>
      </c>
      <c r="O133" s="42">
        <v>409</v>
      </c>
      <c r="P133" s="42">
        <v>90</v>
      </c>
      <c r="Q133" s="42"/>
      <c r="R133" s="39">
        <v>495</v>
      </c>
      <c r="S133" s="41">
        <v>5950</v>
      </c>
      <c r="T133" s="41"/>
      <c r="U133" s="16">
        <f t="shared" si="13"/>
        <v>-5950</v>
      </c>
      <c r="V133" s="45">
        <f t="shared" si="14"/>
        <v>-1</v>
      </c>
    </row>
    <row r="134" spans="1:22" x14ac:dyDescent="0.2">
      <c r="A134" s="3">
        <v>705103</v>
      </c>
      <c r="B134" s="3" t="s">
        <v>440</v>
      </c>
      <c r="C134" s="1">
        <v>732205</v>
      </c>
      <c r="D134" s="1" t="s">
        <v>101</v>
      </c>
      <c r="U134" s="16">
        <f t="shared" si="13"/>
        <v>0</v>
      </c>
      <c r="V134" s="45" t="e">
        <f t="shared" si="14"/>
        <v>#DIV/0!</v>
      </c>
    </row>
    <row r="135" spans="1:22" x14ac:dyDescent="0.2">
      <c r="A135" s="3">
        <v>705801</v>
      </c>
      <c r="B135" s="3" t="s">
        <v>365</v>
      </c>
      <c r="C135" s="1">
        <v>732210</v>
      </c>
      <c r="D135" s="1" t="s">
        <v>102</v>
      </c>
      <c r="E135" s="22"/>
      <c r="F135" s="22">
        <v>0</v>
      </c>
      <c r="G135" s="22">
        <v>2750</v>
      </c>
      <c r="H135" s="22"/>
      <c r="I135" s="22"/>
      <c r="J135" s="22"/>
      <c r="K135" s="22"/>
      <c r="L135" s="22"/>
      <c r="M135" s="22">
        <v>6600</v>
      </c>
      <c r="N135" s="22"/>
      <c r="O135" s="22"/>
      <c r="P135" s="22">
        <v>175</v>
      </c>
      <c r="Q135" s="51">
        <v>1624</v>
      </c>
      <c r="R135" s="39">
        <v>99800</v>
      </c>
      <c r="S135" s="41">
        <v>8300</v>
      </c>
      <c r="T135" s="41">
        <v>31615.8</v>
      </c>
      <c r="U135" s="16">
        <f t="shared" si="13"/>
        <v>23315.8</v>
      </c>
      <c r="V135" s="45">
        <f t="shared" si="14"/>
        <v>2.8091325301204817</v>
      </c>
    </row>
    <row r="136" spans="1:22" x14ac:dyDescent="0.2">
      <c r="A136" s="3">
        <v>705003</v>
      </c>
      <c r="B136" s="3" t="s">
        <v>359</v>
      </c>
      <c r="C136" s="1">
        <v>732215</v>
      </c>
      <c r="D136" s="1" t="s">
        <v>103</v>
      </c>
      <c r="E136" s="22">
        <v>92</v>
      </c>
      <c r="F136" s="22"/>
      <c r="G136" s="22"/>
      <c r="H136" s="22"/>
      <c r="I136" s="22"/>
      <c r="J136" s="22"/>
      <c r="K136" s="22">
        <v>466</v>
      </c>
      <c r="L136" s="22"/>
      <c r="M136" s="22"/>
      <c r="N136" s="22"/>
      <c r="O136" s="22"/>
      <c r="P136" s="22"/>
      <c r="Q136" s="22"/>
      <c r="R136" s="22"/>
      <c r="S136" s="22"/>
      <c r="T136" s="22"/>
      <c r="U136" s="16">
        <f t="shared" si="13"/>
        <v>0</v>
      </c>
      <c r="V136" s="45" t="e">
        <f t="shared" si="14"/>
        <v>#DIV/0!</v>
      </c>
    </row>
    <row r="137" spans="1:22" x14ac:dyDescent="0.2">
      <c r="A137" s="3">
        <v>705300</v>
      </c>
      <c r="B137" s="3" t="s">
        <v>98</v>
      </c>
      <c r="C137" s="1">
        <v>732225</v>
      </c>
      <c r="D137" s="1" t="s">
        <v>104</v>
      </c>
      <c r="U137" s="16">
        <f t="shared" si="13"/>
        <v>0</v>
      </c>
      <c r="V137" s="45" t="e">
        <f t="shared" si="14"/>
        <v>#DIV/0!</v>
      </c>
    </row>
    <row r="138" spans="1:22" x14ac:dyDescent="0.2">
      <c r="A138" s="3">
        <v>705800</v>
      </c>
      <c r="B138" s="3" t="s">
        <v>364</v>
      </c>
      <c r="C138" s="1">
        <v>732300</v>
      </c>
      <c r="D138" s="1" t="s">
        <v>105</v>
      </c>
      <c r="E138" s="22"/>
      <c r="F138" s="22">
        <v>288.95999999999998</v>
      </c>
      <c r="G138" s="22"/>
      <c r="H138" s="22"/>
      <c r="I138" s="22"/>
      <c r="J138" s="22"/>
      <c r="K138" s="22"/>
      <c r="L138" s="22"/>
      <c r="M138" s="22"/>
      <c r="N138" s="22"/>
      <c r="O138" s="42">
        <v>509.33</v>
      </c>
      <c r="P138" s="42"/>
      <c r="Q138" s="42"/>
      <c r="R138" s="39">
        <v>13.69</v>
      </c>
      <c r="S138" s="39"/>
      <c r="T138" s="39"/>
      <c r="U138" s="16">
        <f t="shared" si="13"/>
        <v>0</v>
      </c>
      <c r="V138" s="45" t="e">
        <f t="shared" si="14"/>
        <v>#DIV/0!</v>
      </c>
    </row>
    <row r="139" spans="1:22" x14ac:dyDescent="0.2">
      <c r="A139" s="3">
        <v>706007</v>
      </c>
      <c r="B139" s="3" t="s">
        <v>371</v>
      </c>
      <c r="C139" s="1">
        <v>741100</v>
      </c>
      <c r="D139" s="1" t="s">
        <v>106</v>
      </c>
      <c r="E139" s="22"/>
      <c r="F139" s="22"/>
      <c r="G139" s="22"/>
      <c r="H139" s="22"/>
      <c r="I139" s="22"/>
      <c r="J139" s="22"/>
      <c r="K139" s="22">
        <v>473.15</v>
      </c>
      <c r="L139" s="22">
        <v>79.23</v>
      </c>
      <c r="M139" s="22"/>
      <c r="N139" s="42">
        <v>233.05</v>
      </c>
      <c r="O139" s="42">
        <v>836.61</v>
      </c>
      <c r="P139" s="42">
        <v>858.96</v>
      </c>
      <c r="Q139" s="51">
        <v>1188.6200000000001</v>
      </c>
      <c r="R139" s="39">
        <v>1329.69</v>
      </c>
      <c r="S139" s="39"/>
      <c r="T139" s="39"/>
      <c r="U139" s="16">
        <f t="shared" si="13"/>
        <v>0</v>
      </c>
      <c r="V139" s="45" t="e">
        <f t="shared" si="14"/>
        <v>#DIV/0!</v>
      </c>
    </row>
    <row r="140" spans="1:22" x14ac:dyDescent="0.2">
      <c r="A140" s="3">
        <v>706602</v>
      </c>
      <c r="B140" s="3" t="s">
        <v>388</v>
      </c>
      <c r="C140" s="57">
        <v>741105</v>
      </c>
      <c r="D140" s="57" t="s">
        <v>268</v>
      </c>
      <c r="E140" s="22"/>
      <c r="F140" s="22"/>
      <c r="G140" s="22"/>
      <c r="H140" s="22"/>
      <c r="I140" s="22"/>
      <c r="J140" s="22"/>
      <c r="K140" s="22">
        <v>5359.4400000000005</v>
      </c>
      <c r="L140" s="22">
        <v>5359.4400000000005</v>
      </c>
      <c r="M140" s="22">
        <v>5359.4400000000005</v>
      </c>
      <c r="N140" s="42">
        <v>5359.4400000000005</v>
      </c>
      <c r="O140" s="42">
        <v>5359.4400000000005</v>
      </c>
      <c r="P140" s="42">
        <v>5427.4400000000005</v>
      </c>
      <c r="Q140" s="51">
        <v>7840</v>
      </c>
      <c r="R140" s="39">
        <v>11256</v>
      </c>
      <c r="S140" s="39"/>
      <c r="T140" s="39"/>
      <c r="U140" s="16">
        <f t="shared" si="13"/>
        <v>0</v>
      </c>
      <c r="V140" s="45" t="e">
        <f t="shared" si="14"/>
        <v>#DIV/0!</v>
      </c>
    </row>
    <row r="141" spans="1:22" x14ac:dyDescent="0.2">
      <c r="A141" s="3">
        <v>706000</v>
      </c>
      <c r="B141" s="3" t="s">
        <v>366</v>
      </c>
      <c r="C141" s="1">
        <v>741110</v>
      </c>
      <c r="D141" s="1" t="s">
        <v>107</v>
      </c>
      <c r="E141" s="22">
        <v>145135.26</v>
      </c>
      <c r="F141" s="22"/>
      <c r="G141" s="22"/>
      <c r="H141" s="22"/>
      <c r="I141" s="22"/>
      <c r="J141" s="22">
        <v>2430</v>
      </c>
      <c r="K141" s="22">
        <v>354</v>
      </c>
      <c r="L141" s="22"/>
      <c r="M141" s="22"/>
      <c r="N141" s="22"/>
      <c r="O141" s="22"/>
      <c r="P141" s="22"/>
      <c r="Q141" s="22"/>
      <c r="R141" s="22"/>
      <c r="S141" s="22"/>
      <c r="T141" s="22"/>
      <c r="U141" s="16">
        <f t="shared" si="13"/>
        <v>0</v>
      </c>
      <c r="V141" s="45" t="e">
        <f t="shared" si="14"/>
        <v>#DIV/0!</v>
      </c>
    </row>
    <row r="142" spans="1:22" x14ac:dyDescent="0.2">
      <c r="A142" s="3">
        <v>706001</v>
      </c>
      <c r="B142" s="3" t="s">
        <v>367</v>
      </c>
      <c r="C142" s="57">
        <v>741115</v>
      </c>
      <c r="D142" s="57" t="s">
        <v>269</v>
      </c>
      <c r="E142" s="22">
        <v>45688.07</v>
      </c>
      <c r="F142" s="22"/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22"/>
      <c r="S142" s="22"/>
      <c r="T142" s="22"/>
      <c r="U142" s="16">
        <f t="shared" si="13"/>
        <v>0</v>
      </c>
      <c r="V142" s="45" t="e">
        <f t="shared" si="14"/>
        <v>#DIV/0!</v>
      </c>
    </row>
    <row r="143" spans="1:22" x14ac:dyDescent="0.2">
      <c r="A143" s="3">
        <v>706005</v>
      </c>
      <c r="B143" s="3" t="s">
        <v>369</v>
      </c>
      <c r="C143" s="57">
        <v>741120</v>
      </c>
      <c r="D143" s="57" t="s">
        <v>270</v>
      </c>
      <c r="E143" s="22">
        <v>1281.8500000000001</v>
      </c>
      <c r="F143" s="22">
        <v>1577.64</v>
      </c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16">
        <f t="shared" si="13"/>
        <v>0</v>
      </c>
      <c r="V143" s="45" t="e">
        <f t="shared" si="14"/>
        <v>#DIV/0!</v>
      </c>
    </row>
    <row r="144" spans="1:22" x14ac:dyDescent="0.2">
      <c r="A144" s="3">
        <v>706006</v>
      </c>
      <c r="B144" s="3" t="s">
        <v>370</v>
      </c>
      <c r="C144" s="57">
        <v>741125</v>
      </c>
      <c r="D144" s="57" t="s">
        <v>271</v>
      </c>
      <c r="E144" s="22">
        <v>756</v>
      </c>
      <c r="F144" s="22">
        <v>917.96</v>
      </c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  <c r="S144" s="22"/>
      <c r="T144" s="22"/>
      <c r="U144" s="16">
        <f t="shared" si="13"/>
        <v>0</v>
      </c>
      <c r="V144" s="45" t="e">
        <f t="shared" si="14"/>
        <v>#DIV/0!</v>
      </c>
    </row>
    <row r="145" spans="1:22" x14ac:dyDescent="0.2">
      <c r="A145" s="3">
        <v>706100</v>
      </c>
      <c r="B145" s="3" t="s">
        <v>372</v>
      </c>
      <c r="C145" s="1">
        <v>742120</v>
      </c>
      <c r="D145" s="1" t="s">
        <v>108</v>
      </c>
      <c r="E145" s="22">
        <v>275.69</v>
      </c>
      <c r="F145" s="22">
        <v>393.02</v>
      </c>
      <c r="G145" s="22">
        <v>1501.0700000000002</v>
      </c>
      <c r="H145" s="22"/>
      <c r="I145" s="22">
        <v>204.16</v>
      </c>
      <c r="J145" s="22">
        <v>31.32</v>
      </c>
      <c r="K145" s="22">
        <v>32.69</v>
      </c>
      <c r="L145" s="22">
        <v>59.92</v>
      </c>
      <c r="M145" s="22">
        <v>131.09</v>
      </c>
      <c r="N145" s="42">
        <v>126.99000000000001</v>
      </c>
      <c r="O145" s="42">
        <v>13.5</v>
      </c>
      <c r="P145" s="42">
        <v>25</v>
      </c>
      <c r="Q145" s="51">
        <v>38.51</v>
      </c>
      <c r="R145" s="39">
        <v>29</v>
      </c>
      <c r="S145" s="41">
        <v>-92.51</v>
      </c>
      <c r="T145" s="41"/>
      <c r="U145" s="16">
        <f t="shared" si="13"/>
        <v>92.51</v>
      </c>
      <c r="V145" s="45">
        <f t="shared" si="14"/>
        <v>-1</v>
      </c>
    </row>
    <row r="146" spans="1:22" x14ac:dyDescent="0.2">
      <c r="A146" s="3">
        <v>706200</v>
      </c>
      <c r="B146" s="3" t="s">
        <v>374</v>
      </c>
      <c r="C146" s="1">
        <v>743100</v>
      </c>
      <c r="D146" s="1" t="s">
        <v>109</v>
      </c>
      <c r="E146" s="22"/>
      <c r="F146" s="22"/>
      <c r="G146" s="22">
        <v>23834.97</v>
      </c>
      <c r="H146" s="22">
        <v>25171.07</v>
      </c>
      <c r="I146" s="22">
        <v>14108.02</v>
      </c>
      <c r="J146" s="22">
        <v>24735.200000000001</v>
      </c>
      <c r="K146" s="22">
        <v>4061.4</v>
      </c>
      <c r="L146" s="22">
        <v>4702.7300000000005</v>
      </c>
      <c r="M146" s="22">
        <v>1459.6000000000001</v>
      </c>
      <c r="N146" s="42">
        <v>4605.49</v>
      </c>
      <c r="O146" s="42">
        <v>3060.16</v>
      </c>
      <c r="P146" s="42">
        <v>5671.36</v>
      </c>
      <c r="U146" s="16">
        <f t="shared" si="13"/>
        <v>0</v>
      </c>
      <c r="V146" s="45" t="e">
        <f t="shared" si="14"/>
        <v>#DIV/0!</v>
      </c>
    </row>
    <row r="147" spans="1:22" x14ac:dyDescent="0.2">
      <c r="A147" s="3">
        <v>706200</v>
      </c>
      <c r="B147" s="3" t="s">
        <v>374</v>
      </c>
      <c r="C147" s="1">
        <v>743200</v>
      </c>
      <c r="D147" s="1" t="s">
        <v>110</v>
      </c>
      <c r="E147" s="22">
        <v>24225.32</v>
      </c>
      <c r="F147" s="22">
        <v>18803.79</v>
      </c>
      <c r="G147" s="22">
        <v>18313.650000000001</v>
      </c>
      <c r="H147" s="22">
        <v>15304.2</v>
      </c>
      <c r="I147" s="22">
        <v>25333.86</v>
      </c>
      <c r="J147" s="22">
        <v>22390.400000000001</v>
      </c>
      <c r="K147" s="22">
        <v>20679.86</v>
      </c>
      <c r="L147" s="22">
        <v>24203.68</v>
      </c>
      <c r="M147" s="22">
        <v>37712.870000000003</v>
      </c>
      <c r="N147" s="42">
        <v>26047</v>
      </c>
      <c r="O147" s="42">
        <v>33387.08</v>
      </c>
      <c r="P147" s="42">
        <v>40744.29</v>
      </c>
      <c r="Q147" s="51">
        <v>40349.46</v>
      </c>
      <c r="R147" s="39">
        <v>29330.14</v>
      </c>
      <c r="S147" s="39"/>
      <c r="T147" s="39"/>
      <c r="U147" s="16">
        <f t="shared" si="13"/>
        <v>0</v>
      </c>
      <c r="V147" s="45" t="e">
        <f t="shared" si="14"/>
        <v>#DIV/0!</v>
      </c>
    </row>
    <row r="148" spans="1:22" x14ac:dyDescent="0.2">
      <c r="A148">
        <v>706201</v>
      </c>
      <c r="B148" t="s">
        <v>466</v>
      </c>
      <c r="C148" s="1"/>
      <c r="D148" s="1"/>
      <c r="E148" s="22"/>
      <c r="F148" s="22"/>
      <c r="G148" s="22"/>
      <c r="H148" s="22"/>
      <c r="I148" s="22"/>
      <c r="J148" s="22"/>
      <c r="K148" s="22"/>
      <c r="L148" s="22"/>
      <c r="M148" s="22"/>
      <c r="N148" s="42"/>
      <c r="O148" s="42"/>
      <c r="P148" s="42"/>
      <c r="Q148" s="51"/>
      <c r="R148" s="39">
        <v>2475</v>
      </c>
      <c r="S148" s="39"/>
      <c r="T148" s="39"/>
      <c r="U148" s="16">
        <f t="shared" si="13"/>
        <v>0</v>
      </c>
      <c r="V148" s="45" t="e">
        <f t="shared" si="14"/>
        <v>#DIV/0!</v>
      </c>
    </row>
    <row r="149" spans="1:22" x14ac:dyDescent="0.2">
      <c r="A149" s="3">
        <v>706202</v>
      </c>
      <c r="B149" s="3" t="s">
        <v>375</v>
      </c>
      <c r="C149" s="1">
        <v>743300</v>
      </c>
      <c r="D149" s="1" t="s">
        <v>111</v>
      </c>
      <c r="E149" s="22">
        <v>717.21</v>
      </c>
      <c r="F149" s="22">
        <v>1692.19</v>
      </c>
      <c r="G149" s="22">
        <v>5840.98</v>
      </c>
      <c r="H149" s="22">
        <v>81.510000000000005</v>
      </c>
      <c r="I149" s="22"/>
      <c r="J149" s="22"/>
      <c r="K149" s="22">
        <v>211.92000000000002</v>
      </c>
      <c r="L149" s="22"/>
      <c r="M149" s="22"/>
      <c r="N149" s="22"/>
      <c r="O149" s="22"/>
      <c r="P149" s="22"/>
      <c r="Q149" s="22"/>
      <c r="R149" s="22"/>
      <c r="S149" s="22"/>
      <c r="T149" s="22"/>
      <c r="U149" s="16">
        <f t="shared" si="13"/>
        <v>0</v>
      </c>
      <c r="V149" s="45" t="e">
        <f t="shared" si="14"/>
        <v>#DIV/0!</v>
      </c>
    </row>
    <row r="150" spans="1:22" x14ac:dyDescent="0.2">
      <c r="A150" s="3">
        <v>706203</v>
      </c>
      <c r="B150" s="3" t="s">
        <v>376</v>
      </c>
      <c r="C150" s="1">
        <v>743400</v>
      </c>
      <c r="D150" s="1" t="s">
        <v>112</v>
      </c>
      <c r="E150" s="22">
        <v>5100</v>
      </c>
      <c r="F150" s="22"/>
      <c r="G150" s="22">
        <v>2550</v>
      </c>
      <c r="H150" s="22">
        <v>5670</v>
      </c>
      <c r="I150" s="22">
        <v>5670</v>
      </c>
      <c r="J150" s="22">
        <v>5840</v>
      </c>
      <c r="K150" s="22">
        <v>6554</v>
      </c>
      <c r="L150" s="22">
        <v>6195</v>
      </c>
      <c r="M150" s="22">
        <v>6195</v>
      </c>
      <c r="N150" s="42">
        <v>6380</v>
      </c>
      <c r="O150" s="42">
        <v>6571</v>
      </c>
      <c r="P150" s="42">
        <v>6786</v>
      </c>
      <c r="Q150" s="51">
        <v>6971</v>
      </c>
      <c r="R150" s="39">
        <v>7180</v>
      </c>
      <c r="S150" s="39"/>
      <c r="T150" s="39">
        <v>5100</v>
      </c>
      <c r="U150" s="16">
        <f t="shared" si="13"/>
        <v>5100</v>
      </c>
      <c r="V150" s="45" t="e">
        <f t="shared" si="14"/>
        <v>#DIV/0!</v>
      </c>
    </row>
    <row r="151" spans="1:22" x14ac:dyDescent="0.2">
      <c r="A151" s="3">
        <v>706204</v>
      </c>
      <c r="B151" s="3" t="s">
        <v>377</v>
      </c>
      <c r="C151" s="1">
        <v>743500</v>
      </c>
      <c r="D151" s="1" t="s">
        <v>113</v>
      </c>
      <c r="E151" s="22"/>
      <c r="F151" s="22">
        <v>85.93</v>
      </c>
      <c r="G151" s="22">
        <v>124.75</v>
      </c>
      <c r="H151" s="22"/>
      <c r="I151" s="22"/>
      <c r="J151" s="22"/>
      <c r="K151" s="22"/>
      <c r="L151" s="22">
        <v>127.43</v>
      </c>
      <c r="M151" s="22"/>
      <c r="N151" s="22"/>
      <c r="O151" s="22"/>
      <c r="P151" s="22"/>
      <c r="Q151" s="22"/>
      <c r="R151" s="22"/>
      <c r="S151" s="22"/>
      <c r="T151" s="22"/>
      <c r="U151" s="16">
        <f t="shared" si="13"/>
        <v>0</v>
      </c>
      <c r="V151" s="45" t="e">
        <f t="shared" si="14"/>
        <v>#DIV/0!</v>
      </c>
    </row>
    <row r="152" spans="1:22" x14ac:dyDescent="0.2">
      <c r="A152" s="3">
        <v>706300</v>
      </c>
      <c r="B152" s="3" t="s">
        <v>378</v>
      </c>
      <c r="C152" s="1">
        <v>744100</v>
      </c>
      <c r="D152" s="1" t="s">
        <v>114</v>
      </c>
      <c r="E152" s="22"/>
      <c r="F152" s="22"/>
      <c r="G152" s="22">
        <v>2063.2400000000002</v>
      </c>
      <c r="H152" s="22">
        <v>2543.88</v>
      </c>
      <c r="I152" s="22">
        <v>339.19</v>
      </c>
      <c r="J152" s="22">
        <v>340.42</v>
      </c>
      <c r="K152" s="22">
        <v>400.27</v>
      </c>
      <c r="L152" s="22">
        <v>829.75</v>
      </c>
      <c r="M152" s="22">
        <v>66.430000000000007</v>
      </c>
      <c r="N152" s="42">
        <v>89.75</v>
      </c>
      <c r="O152" s="42">
        <v>40.28</v>
      </c>
      <c r="P152" s="42">
        <v>4650.46</v>
      </c>
      <c r="Q152" s="51">
        <v>3335.31</v>
      </c>
      <c r="R152" s="51"/>
      <c r="S152" s="51"/>
      <c r="T152" s="51"/>
      <c r="U152" s="16">
        <f t="shared" ref="U152:U215" si="15">T152-S152</f>
        <v>0</v>
      </c>
      <c r="V152" s="45" t="e">
        <f t="shared" ref="V152:V215" si="16">U152/S152</f>
        <v>#DIV/0!</v>
      </c>
    </row>
    <row r="153" spans="1:22" x14ac:dyDescent="0.2">
      <c r="A153" s="3">
        <v>706300</v>
      </c>
      <c r="B153" s="3" t="s">
        <v>378</v>
      </c>
      <c r="C153" s="1">
        <v>744110</v>
      </c>
      <c r="D153" s="1" t="s">
        <v>115</v>
      </c>
      <c r="E153" s="22">
        <v>1593.05</v>
      </c>
      <c r="F153" s="22">
        <v>7759.55</v>
      </c>
      <c r="G153" s="22">
        <v>4428.8500000000004</v>
      </c>
      <c r="H153" s="22">
        <v>5397.9400000000005</v>
      </c>
      <c r="I153" s="22">
        <v>4156.03</v>
      </c>
      <c r="J153" s="22">
        <v>4697.34</v>
      </c>
      <c r="K153" s="22">
        <v>8539.2100000000009</v>
      </c>
      <c r="L153" s="22">
        <v>3736.2599999999998</v>
      </c>
      <c r="M153" s="22">
        <v>1609.1200000000001</v>
      </c>
      <c r="N153" s="42">
        <v>1743.7800000000002</v>
      </c>
      <c r="O153" s="42">
        <v>4154.55</v>
      </c>
      <c r="P153" s="42">
        <v>6384.6600000000017</v>
      </c>
      <c r="Q153" s="51">
        <v>6515.2999999999993</v>
      </c>
      <c r="R153" s="69">
        <v>9910.58</v>
      </c>
      <c r="S153" s="41">
        <v>4484.67</v>
      </c>
      <c r="T153" s="41">
        <v>2869.23</v>
      </c>
      <c r="U153" s="16">
        <f t="shared" si="15"/>
        <v>-1615.44</v>
      </c>
      <c r="V153" s="45">
        <f t="shared" si="16"/>
        <v>-0.36021379499494949</v>
      </c>
    </row>
    <row r="154" spans="1:22" x14ac:dyDescent="0.2">
      <c r="A154" s="3">
        <v>706301</v>
      </c>
      <c r="B154" s="3" t="s">
        <v>379</v>
      </c>
      <c r="C154" s="1">
        <v>744115</v>
      </c>
      <c r="D154" s="1" t="s">
        <v>116</v>
      </c>
      <c r="E154" s="22">
        <v>750</v>
      </c>
      <c r="F154" s="22"/>
      <c r="G154" s="22"/>
      <c r="H154" s="22"/>
      <c r="I154" s="22"/>
      <c r="J154" s="22"/>
      <c r="K154" s="22"/>
      <c r="L154" s="22"/>
      <c r="M154" s="22"/>
      <c r="N154" s="22"/>
      <c r="O154" s="42"/>
      <c r="P154" s="42"/>
      <c r="Q154" s="42"/>
      <c r="R154" s="42"/>
      <c r="S154" s="42"/>
      <c r="T154" s="42">
        <v>1850</v>
      </c>
      <c r="U154" s="16">
        <f t="shared" si="15"/>
        <v>1850</v>
      </c>
      <c r="V154" s="45" t="e">
        <f t="shared" si="16"/>
        <v>#DIV/0!</v>
      </c>
    </row>
    <row r="155" spans="1:22" x14ac:dyDescent="0.2">
      <c r="A155" s="3">
        <v>706505</v>
      </c>
      <c r="B155" s="3" t="s">
        <v>442</v>
      </c>
      <c r="C155" s="1">
        <v>744120</v>
      </c>
      <c r="D155" s="1" t="s">
        <v>287</v>
      </c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42">
        <v>35.82</v>
      </c>
      <c r="P155" s="42"/>
      <c r="Q155" s="42"/>
      <c r="R155" s="42"/>
      <c r="S155" s="42"/>
      <c r="T155" s="42"/>
      <c r="U155" s="16">
        <f t="shared" si="15"/>
        <v>0</v>
      </c>
      <c r="V155" s="45" t="e">
        <f t="shared" si="16"/>
        <v>#DIV/0!</v>
      </c>
    </row>
    <row r="156" spans="1:22" x14ac:dyDescent="0.2">
      <c r="A156" s="3">
        <v>706302</v>
      </c>
      <c r="B156" s="3" t="s">
        <v>380</v>
      </c>
      <c r="C156" s="1">
        <v>744125</v>
      </c>
      <c r="D156" s="1" t="s">
        <v>117</v>
      </c>
      <c r="E156" s="22"/>
      <c r="F156" s="22"/>
      <c r="G156" s="22"/>
      <c r="H156" s="22">
        <v>790.56</v>
      </c>
      <c r="I156" s="22"/>
      <c r="J156" s="22"/>
      <c r="K156" s="22"/>
      <c r="L156" s="22">
        <v>250</v>
      </c>
      <c r="M156" s="22"/>
      <c r="N156" s="22"/>
      <c r="O156" s="22"/>
      <c r="P156" s="22"/>
      <c r="Q156" s="22"/>
      <c r="R156" s="22"/>
      <c r="S156" s="22"/>
      <c r="T156" s="22"/>
      <c r="U156" s="16">
        <f t="shared" si="15"/>
        <v>0</v>
      </c>
      <c r="V156" s="45" t="e">
        <f t="shared" si="16"/>
        <v>#DIV/0!</v>
      </c>
    </row>
    <row r="157" spans="1:22" x14ac:dyDescent="0.2">
      <c r="A157" s="3">
        <v>706400</v>
      </c>
      <c r="B157" s="3" t="s">
        <v>381</v>
      </c>
      <c r="C157" s="1">
        <v>744130</v>
      </c>
      <c r="D157" s="1" t="s">
        <v>118</v>
      </c>
      <c r="U157" s="16">
        <f t="shared" si="15"/>
        <v>0</v>
      </c>
      <c r="V157" s="45" t="e">
        <f t="shared" si="16"/>
        <v>#DIV/0!</v>
      </c>
    </row>
    <row r="158" spans="1:22" x14ac:dyDescent="0.2">
      <c r="A158" s="3">
        <v>706400</v>
      </c>
      <c r="B158" s="3" t="s">
        <v>381</v>
      </c>
      <c r="C158" s="1">
        <v>744135</v>
      </c>
      <c r="D158" s="1" t="s">
        <v>119</v>
      </c>
      <c r="E158" s="22"/>
      <c r="F158" s="22"/>
      <c r="G158" s="22"/>
      <c r="H158" s="22"/>
      <c r="I158" s="22"/>
      <c r="J158" s="22"/>
      <c r="K158" s="22"/>
      <c r="L158" s="22">
        <v>48.95</v>
      </c>
      <c r="M158" s="22"/>
      <c r="N158" s="22"/>
      <c r="O158" s="22"/>
      <c r="P158" s="22"/>
      <c r="Q158" s="22"/>
      <c r="R158" s="22"/>
      <c r="S158" s="22"/>
      <c r="T158" s="22"/>
      <c r="U158" s="16">
        <f t="shared" si="15"/>
        <v>0</v>
      </c>
      <c r="V158" s="45" t="e">
        <f t="shared" si="16"/>
        <v>#DIV/0!</v>
      </c>
    </row>
    <row r="159" spans="1:22" x14ac:dyDescent="0.2">
      <c r="A159" s="3">
        <v>706504</v>
      </c>
      <c r="B159" s="3" t="s">
        <v>385</v>
      </c>
      <c r="C159" s="1">
        <v>744140</v>
      </c>
      <c r="D159" s="1" t="s">
        <v>120</v>
      </c>
      <c r="E159" s="22"/>
      <c r="F159" s="22">
        <v>480</v>
      </c>
      <c r="G159" s="22"/>
      <c r="H159" s="22"/>
      <c r="I159" s="22"/>
      <c r="J159" s="22"/>
      <c r="K159" s="22"/>
      <c r="L159" s="22"/>
      <c r="M159" s="22"/>
      <c r="N159" s="42">
        <v>1265</v>
      </c>
      <c r="O159" s="22"/>
      <c r="P159" s="22"/>
      <c r="Q159" s="22"/>
      <c r="R159" s="22"/>
      <c r="S159" s="22"/>
      <c r="T159" s="22"/>
      <c r="U159" s="16">
        <f t="shared" si="15"/>
        <v>0</v>
      </c>
      <c r="V159" s="45" t="e">
        <f t="shared" si="16"/>
        <v>#DIV/0!</v>
      </c>
    </row>
    <row r="160" spans="1:22" x14ac:dyDescent="0.2">
      <c r="A160" s="3">
        <v>706700</v>
      </c>
      <c r="B160" s="3" t="s">
        <v>390</v>
      </c>
      <c r="C160" s="1">
        <v>745100</v>
      </c>
      <c r="D160" s="1" t="s">
        <v>121</v>
      </c>
      <c r="E160" s="22">
        <v>1548</v>
      </c>
      <c r="F160" s="22">
        <v>48560.3</v>
      </c>
      <c r="G160" s="22">
        <v>64325.909999999996</v>
      </c>
      <c r="H160" s="22">
        <v>55664.79</v>
      </c>
      <c r="I160" s="22">
        <v>101622.41</v>
      </c>
      <c r="J160" s="22">
        <v>108943.65000000001</v>
      </c>
      <c r="K160" s="22">
        <v>52840.94</v>
      </c>
      <c r="L160" s="22">
        <v>31334.11</v>
      </c>
      <c r="M160" s="22">
        <v>20448.010000000002</v>
      </c>
      <c r="N160" s="42">
        <v>22224.400000000001</v>
      </c>
      <c r="O160" s="42">
        <v>34640.03</v>
      </c>
      <c r="P160" s="42">
        <v>19254.900000000001</v>
      </c>
      <c r="Q160" s="51">
        <v>1790.77</v>
      </c>
      <c r="R160" s="51"/>
      <c r="S160" s="51"/>
      <c r="T160" s="51"/>
      <c r="U160" s="16">
        <f t="shared" si="15"/>
        <v>0</v>
      </c>
      <c r="V160" s="45" t="e">
        <f t="shared" si="16"/>
        <v>#DIV/0!</v>
      </c>
    </row>
    <row r="161" spans="1:22" x14ac:dyDescent="0.2">
      <c r="A161" s="3">
        <v>706605</v>
      </c>
      <c r="B161" s="3" t="s">
        <v>389</v>
      </c>
      <c r="C161" s="1">
        <v>745105</v>
      </c>
      <c r="D161" s="1" t="s">
        <v>122</v>
      </c>
      <c r="E161" s="22">
        <v>302321.87999999995</v>
      </c>
      <c r="F161" s="22">
        <v>305960.05000000005</v>
      </c>
      <c r="G161" s="22">
        <v>270429.5199999999</v>
      </c>
      <c r="H161" s="22">
        <v>240995.30000000002</v>
      </c>
      <c r="I161" s="22">
        <v>231884.45</v>
      </c>
      <c r="J161" s="22">
        <v>321708.30000000005</v>
      </c>
      <c r="K161" s="22">
        <v>294813.55000000016</v>
      </c>
      <c r="L161" s="22">
        <v>214368.21</v>
      </c>
      <c r="M161" s="22">
        <v>421157.35</v>
      </c>
      <c r="N161" s="42">
        <v>359365.11999999994</v>
      </c>
      <c r="O161" s="42">
        <v>328787.24</v>
      </c>
      <c r="P161" s="42">
        <v>153216.47</v>
      </c>
      <c r="Q161" s="51">
        <v>157812.34000000003</v>
      </c>
      <c r="R161" s="39">
        <v>243258.11000000002</v>
      </c>
      <c r="S161" s="41">
        <v>61902.409999999996</v>
      </c>
      <c r="T161" s="41">
        <v>5531.9099999999989</v>
      </c>
      <c r="U161" s="16">
        <f t="shared" si="15"/>
        <v>-56370.5</v>
      </c>
      <c r="V161" s="45">
        <f t="shared" si="16"/>
        <v>-0.91063498173980628</v>
      </c>
    </row>
    <row r="162" spans="1:22" x14ac:dyDescent="0.2">
      <c r="A162" s="3">
        <v>706605</v>
      </c>
      <c r="B162" s="3" t="s">
        <v>389</v>
      </c>
      <c r="C162" s="1">
        <v>745110</v>
      </c>
      <c r="D162" s="1" t="s">
        <v>123</v>
      </c>
      <c r="E162" s="22">
        <v>32809.94</v>
      </c>
      <c r="F162" s="22">
        <v>36803.93</v>
      </c>
      <c r="G162" s="22">
        <v>44600.22</v>
      </c>
      <c r="H162" s="22">
        <v>52255.24</v>
      </c>
      <c r="I162" s="22">
        <v>60398.97</v>
      </c>
      <c r="J162" s="22">
        <v>76890.12</v>
      </c>
      <c r="K162" s="22">
        <v>38094.979999999996</v>
      </c>
      <c r="L162" s="22">
        <v>88201.26</v>
      </c>
      <c r="M162" s="22">
        <v>83238.86</v>
      </c>
      <c r="N162" s="42">
        <v>86701.53</v>
      </c>
      <c r="O162" s="42">
        <v>91214.63</v>
      </c>
      <c r="P162" s="42">
        <v>94680.43</v>
      </c>
      <c r="Q162" s="51">
        <v>97289.95</v>
      </c>
      <c r="R162" s="51"/>
      <c r="S162" s="51"/>
      <c r="T162" s="51"/>
      <c r="U162" s="16">
        <f t="shared" si="15"/>
        <v>0</v>
      </c>
      <c r="V162" s="45" t="e">
        <f t="shared" si="16"/>
        <v>#DIV/0!</v>
      </c>
    </row>
    <row r="163" spans="1:22" x14ac:dyDescent="0.2">
      <c r="A163" s="3">
        <v>706601</v>
      </c>
      <c r="B163" s="3" t="s">
        <v>387</v>
      </c>
      <c r="C163" s="1">
        <v>745115</v>
      </c>
      <c r="D163" s="1" t="s">
        <v>124</v>
      </c>
      <c r="E163" s="22">
        <v>97.600000000000009</v>
      </c>
      <c r="F163" s="22"/>
      <c r="G163" s="22"/>
      <c r="H163" s="22"/>
      <c r="I163" s="22"/>
      <c r="J163" s="22"/>
      <c r="K163" s="22"/>
      <c r="L163" s="22"/>
      <c r="M163" s="22"/>
      <c r="N163" s="42">
        <v>221.77</v>
      </c>
      <c r="O163" s="22"/>
      <c r="P163" s="22"/>
      <c r="Q163" s="22"/>
      <c r="R163" s="22"/>
      <c r="S163" s="22"/>
      <c r="T163" s="22"/>
      <c r="U163" s="16">
        <f t="shared" si="15"/>
        <v>0</v>
      </c>
      <c r="V163" s="45" t="e">
        <f t="shared" si="16"/>
        <v>#DIV/0!</v>
      </c>
    </row>
    <row r="164" spans="1:22" x14ac:dyDescent="0.2">
      <c r="A164" s="3">
        <v>706600</v>
      </c>
      <c r="B164" s="3" t="s">
        <v>386</v>
      </c>
      <c r="C164" s="1">
        <v>745120</v>
      </c>
      <c r="D164" s="1" t="s">
        <v>192</v>
      </c>
      <c r="E164" s="22"/>
      <c r="F164" s="22"/>
      <c r="G164" s="22"/>
      <c r="H164" s="22"/>
      <c r="I164" s="22"/>
      <c r="J164" s="22"/>
      <c r="K164" s="22"/>
      <c r="L164" s="22"/>
      <c r="M164" s="22"/>
      <c r="N164" s="42"/>
      <c r="O164" s="42">
        <v>425</v>
      </c>
      <c r="P164" s="42"/>
      <c r="Q164" s="51">
        <v>689</v>
      </c>
      <c r="R164" s="39">
        <v>7541.52</v>
      </c>
      <c r="S164" s="39"/>
      <c r="T164" s="39">
        <v>1928</v>
      </c>
      <c r="U164" s="16">
        <f t="shared" si="15"/>
        <v>1928</v>
      </c>
      <c r="V164" s="45" t="e">
        <f t="shared" si="16"/>
        <v>#DIV/0!</v>
      </c>
    </row>
    <row r="165" spans="1:22" x14ac:dyDescent="0.2">
      <c r="A165" s="3">
        <v>707001</v>
      </c>
      <c r="B165" s="3" t="s">
        <v>392</v>
      </c>
      <c r="C165" s="1">
        <v>751100</v>
      </c>
      <c r="D165" s="1" t="s">
        <v>125</v>
      </c>
      <c r="E165" s="22">
        <v>910.01</v>
      </c>
      <c r="F165" s="22"/>
      <c r="G165" s="22">
        <v>385</v>
      </c>
      <c r="H165" s="22"/>
      <c r="I165" s="22"/>
      <c r="J165" s="22">
        <v>710</v>
      </c>
      <c r="K165" s="22">
        <v>7740</v>
      </c>
      <c r="L165" s="22">
        <v>400.40000000000003</v>
      </c>
      <c r="M165" s="22">
        <v>69</v>
      </c>
      <c r="N165" s="22"/>
      <c r="O165" s="42">
        <v>705</v>
      </c>
      <c r="P165" s="42">
        <v>272.93</v>
      </c>
      <c r="Q165" s="51">
        <v>48146</v>
      </c>
      <c r="R165" s="51"/>
      <c r="S165" s="51"/>
      <c r="T165" s="51"/>
      <c r="U165" s="16">
        <f t="shared" si="15"/>
        <v>0</v>
      </c>
      <c r="V165" s="45" t="e">
        <f t="shared" si="16"/>
        <v>#DIV/0!</v>
      </c>
    </row>
    <row r="166" spans="1:22" x14ac:dyDescent="0.2">
      <c r="A166" s="3">
        <v>707002</v>
      </c>
      <c r="B166" s="3" t="s">
        <v>393</v>
      </c>
      <c r="C166" s="57">
        <v>751105</v>
      </c>
      <c r="D166" s="57" t="s">
        <v>194</v>
      </c>
      <c r="E166" s="22">
        <v>3500</v>
      </c>
      <c r="F166" s="22"/>
      <c r="G166" s="22"/>
      <c r="H166" s="22"/>
      <c r="I166" s="22"/>
      <c r="J166" s="22"/>
      <c r="K166" s="22"/>
      <c r="L166" s="22">
        <v>135</v>
      </c>
      <c r="M166" s="22"/>
      <c r="N166" s="22"/>
      <c r="O166" s="22"/>
      <c r="P166" s="22"/>
      <c r="Q166" s="51">
        <v>300</v>
      </c>
      <c r="R166" s="51"/>
      <c r="S166" s="51"/>
      <c r="T166" s="51"/>
      <c r="U166" s="16">
        <f t="shared" si="15"/>
        <v>0</v>
      </c>
      <c r="V166" s="45" t="e">
        <f t="shared" si="16"/>
        <v>#DIV/0!</v>
      </c>
    </row>
    <row r="167" spans="1:22" x14ac:dyDescent="0.2">
      <c r="A167" s="3">
        <v>707000</v>
      </c>
      <c r="B167" s="3" t="s">
        <v>391</v>
      </c>
      <c r="C167" s="1">
        <v>751110</v>
      </c>
      <c r="D167" s="1" t="s">
        <v>126</v>
      </c>
      <c r="E167" s="22">
        <v>589.32000000000005</v>
      </c>
      <c r="F167" s="22">
        <v>898</v>
      </c>
      <c r="G167" s="22">
        <v>1797.07</v>
      </c>
      <c r="H167" s="22">
        <v>3330.13</v>
      </c>
      <c r="I167" s="22">
        <v>9767</v>
      </c>
      <c r="J167" s="22">
        <v>1054.77</v>
      </c>
      <c r="K167" s="22">
        <v>264.95999999999998</v>
      </c>
      <c r="L167" s="22">
        <v>1470.9</v>
      </c>
      <c r="M167" s="22">
        <v>1462.7</v>
      </c>
      <c r="N167" s="42">
        <v>6078.27</v>
      </c>
      <c r="O167" s="42">
        <v>1547</v>
      </c>
      <c r="P167" s="42"/>
      <c r="Q167" s="42"/>
      <c r="R167" s="39">
        <v>2349.9</v>
      </c>
      <c r="S167" s="41">
        <v>106.34</v>
      </c>
      <c r="T167" s="41"/>
      <c r="U167" s="16">
        <f t="shared" si="15"/>
        <v>-106.34</v>
      </c>
      <c r="V167" s="45">
        <f t="shared" si="16"/>
        <v>-1</v>
      </c>
    </row>
    <row r="168" spans="1:22" x14ac:dyDescent="0.2">
      <c r="A168" s="3">
        <v>707101</v>
      </c>
      <c r="B168" s="3" t="s">
        <v>395</v>
      </c>
      <c r="C168" s="1">
        <v>752100</v>
      </c>
      <c r="D168" s="1" t="s">
        <v>127</v>
      </c>
      <c r="E168" s="22">
        <v>192</v>
      </c>
      <c r="F168" s="22">
        <v>304</v>
      </c>
      <c r="G168" s="22">
        <v>1728</v>
      </c>
      <c r="H168" s="22">
        <v>1868.8400000000001</v>
      </c>
      <c r="I168" s="22">
        <v>1408.27</v>
      </c>
      <c r="J168" s="22">
        <v>2056</v>
      </c>
      <c r="K168" s="22">
        <v>2942.91</v>
      </c>
      <c r="L168" s="22">
        <v>3312</v>
      </c>
      <c r="M168" s="22">
        <v>25107.599999999999</v>
      </c>
      <c r="N168" s="42">
        <v>5607.47</v>
      </c>
      <c r="O168" s="42">
        <v>1553</v>
      </c>
      <c r="P168" s="42"/>
      <c r="Q168" s="42"/>
      <c r="R168" s="42"/>
      <c r="S168" s="42"/>
      <c r="T168" s="42"/>
      <c r="U168" s="16">
        <f t="shared" si="15"/>
        <v>0</v>
      </c>
      <c r="V168" s="45" t="e">
        <f t="shared" si="16"/>
        <v>#DIV/0!</v>
      </c>
    </row>
    <row r="169" spans="1:22" x14ac:dyDescent="0.2">
      <c r="A169" s="3">
        <v>707100</v>
      </c>
      <c r="B169" s="3" t="s">
        <v>394</v>
      </c>
      <c r="C169" s="1">
        <v>752105</v>
      </c>
      <c r="D169" s="1" t="s">
        <v>128</v>
      </c>
      <c r="E169" s="22"/>
      <c r="F169" s="22"/>
      <c r="G169" s="22">
        <v>2975</v>
      </c>
      <c r="H169" s="22"/>
      <c r="I169" s="22"/>
      <c r="J169" s="22">
        <v>17456.25</v>
      </c>
      <c r="K169" s="22">
        <v>2493.75</v>
      </c>
      <c r="L169" s="22">
        <v>10925</v>
      </c>
      <c r="M169" s="22"/>
      <c r="N169" s="22"/>
      <c r="O169" s="42">
        <v>1047.0500000000002</v>
      </c>
      <c r="P169" s="42">
        <v>104</v>
      </c>
      <c r="Q169" s="51">
        <v>504.06</v>
      </c>
      <c r="R169" s="39">
        <v>477.48</v>
      </c>
      <c r="S169" s="39"/>
      <c r="T169" s="39"/>
      <c r="U169" s="16">
        <f t="shared" si="15"/>
        <v>0</v>
      </c>
      <c r="V169" s="45" t="e">
        <f t="shared" si="16"/>
        <v>#DIV/0!</v>
      </c>
    </row>
    <row r="170" spans="1:22" x14ac:dyDescent="0.2">
      <c r="A170" s="3">
        <v>707100</v>
      </c>
      <c r="B170" s="3" t="s">
        <v>394</v>
      </c>
      <c r="C170" s="1">
        <v>752110</v>
      </c>
      <c r="D170" s="1" t="s">
        <v>129</v>
      </c>
      <c r="U170" s="16">
        <f t="shared" si="15"/>
        <v>0</v>
      </c>
      <c r="V170" s="45" t="e">
        <f t="shared" si="16"/>
        <v>#DIV/0!</v>
      </c>
    </row>
    <row r="171" spans="1:22" x14ac:dyDescent="0.2">
      <c r="A171" s="3">
        <v>707101</v>
      </c>
      <c r="B171" s="3" t="s">
        <v>395</v>
      </c>
      <c r="C171" s="1">
        <v>752115</v>
      </c>
      <c r="D171" s="1" t="s">
        <v>130</v>
      </c>
      <c r="E171" s="22"/>
      <c r="F171" s="22">
        <v>233.28</v>
      </c>
      <c r="G171" s="22">
        <v>79.900000000000006</v>
      </c>
      <c r="H171" s="22">
        <v>28462.29</v>
      </c>
      <c r="I171" s="22">
        <v>5025.68</v>
      </c>
      <c r="J171" s="22">
        <v>2877.73</v>
      </c>
      <c r="K171" s="22">
        <v>2049.6000000000004</v>
      </c>
      <c r="L171" s="22">
        <v>1921.23</v>
      </c>
      <c r="M171" s="22">
        <v>2158.12</v>
      </c>
      <c r="N171" s="42">
        <v>4717.9800000000005</v>
      </c>
      <c r="O171" s="42">
        <v>1681.16</v>
      </c>
      <c r="P171" s="42">
        <v>2970.09</v>
      </c>
      <c r="Q171" s="51">
        <v>1518.97</v>
      </c>
      <c r="R171" s="39">
        <v>498.98</v>
      </c>
      <c r="S171" s="41">
        <v>471</v>
      </c>
      <c r="T171" s="41">
        <v>1467.8</v>
      </c>
      <c r="U171" s="16">
        <f t="shared" si="15"/>
        <v>996.8</v>
      </c>
      <c r="V171" s="45">
        <f t="shared" si="16"/>
        <v>2.116348195329087</v>
      </c>
    </row>
    <row r="172" spans="1:22" x14ac:dyDescent="0.2">
      <c r="A172" s="3">
        <v>707153</v>
      </c>
      <c r="B172" s="3" t="s">
        <v>399</v>
      </c>
      <c r="C172" s="1">
        <v>753100</v>
      </c>
      <c r="D172" s="1" t="s">
        <v>131</v>
      </c>
      <c r="E172" s="22">
        <v>70</v>
      </c>
      <c r="F172" s="22">
        <v>982.45</v>
      </c>
      <c r="G172" s="22">
        <v>1435.79</v>
      </c>
      <c r="H172" s="22">
        <v>4729.5</v>
      </c>
      <c r="I172" s="22">
        <v>410.40999999999985</v>
      </c>
      <c r="J172" s="22">
        <v>6171.0300000000007</v>
      </c>
      <c r="K172" s="22">
        <v>925.21</v>
      </c>
      <c r="L172" s="22">
        <v>750.87000000000012</v>
      </c>
      <c r="M172" s="22">
        <v>2671.91</v>
      </c>
      <c r="N172" s="42">
        <v>918.24</v>
      </c>
      <c r="O172" s="42">
        <v>1481.2500000000002</v>
      </c>
      <c r="P172" s="42">
        <v>847.18</v>
      </c>
      <c r="Q172" s="51">
        <v>487.99</v>
      </c>
      <c r="R172" s="51"/>
      <c r="S172" s="51"/>
      <c r="T172" s="51"/>
      <c r="U172" s="16">
        <f t="shared" si="15"/>
        <v>0</v>
      </c>
      <c r="V172" s="45" t="e">
        <f t="shared" si="16"/>
        <v>#DIV/0!</v>
      </c>
    </row>
    <row r="173" spans="1:22" x14ac:dyDescent="0.2">
      <c r="A173" s="3">
        <v>707001</v>
      </c>
      <c r="B173" s="3" t="s">
        <v>392</v>
      </c>
      <c r="C173" s="1">
        <v>761100</v>
      </c>
      <c r="D173" s="1" t="s">
        <v>132</v>
      </c>
      <c r="E173" s="22">
        <v>878</v>
      </c>
      <c r="F173" s="22"/>
      <c r="G173" s="22"/>
      <c r="H173" s="22"/>
      <c r="I173" s="22"/>
      <c r="J173" s="22">
        <v>439</v>
      </c>
      <c r="K173" s="22"/>
      <c r="L173" s="22"/>
      <c r="M173" s="22"/>
      <c r="N173" s="22"/>
      <c r="O173" s="22"/>
      <c r="P173" s="22"/>
      <c r="Q173" s="51">
        <v>176.8</v>
      </c>
      <c r="R173" s="39">
        <v>256.98</v>
      </c>
      <c r="S173" s="41">
        <v>8027.41</v>
      </c>
      <c r="T173" s="41">
        <v>11091.06</v>
      </c>
      <c r="U173" s="16">
        <f t="shared" si="15"/>
        <v>3063.6499999999996</v>
      </c>
      <c r="V173" s="45">
        <f t="shared" si="16"/>
        <v>0.38164862639381814</v>
      </c>
    </row>
    <row r="174" spans="1:22" x14ac:dyDescent="0.2">
      <c r="A174" s="3">
        <v>707001</v>
      </c>
      <c r="B174" s="3" t="s">
        <v>392</v>
      </c>
      <c r="C174" s="1">
        <v>761104</v>
      </c>
      <c r="D174" s="1" t="s">
        <v>133</v>
      </c>
      <c r="E174" s="22"/>
      <c r="F174" s="22"/>
      <c r="G174" s="22">
        <v>99.990000000000009</v>
      </c>
      <c r="H174" s="22">
        <v>35</v>
      </c>
      <c r="I174" s="22"/>
      <c r="J174" s="22"/>
      <c r="K174" s="22">
        <v>59.99</v>
      </c>
      <c r="L174" s="22">
        <v>27</v>
      </c>
      <c r="M174" s="22">
        <v>299.98</v>
      </c>
      <c r="N174" s="42">
        <v>-82.009999999999991</v>
      </c>
      <c r="O174" s="42">
        <v>298.98</v>
      </c>
      <c r="P174" s="42">
        <v>405.92</v>
      </c>
      <c r="Q174" s="51">
        <v>-105.01</v>
      </c>
      <c r="R174" s="51"/>
      <c r="S174" s="51"/>
      <c r="T174" s="51"/>
      <c r="U174" s="16">
        <f t="shared" si="15"/>
        <v>0</v>
      </c>
      <c r="V174" s="45" t="e">
        <f t="shared" si="16"/>
        <v>#DIV/0!</v>
      </c>
    </row>
    <row r="175" spans="1:22" x14ac:dyDescent="0.2">
      <c r="A175" s="3">
        <v>707151</v>
      </c>
      <c r="B175" s="3" t="s">
        <v>397</v>
      </c>
      <c r="C175" s="57">
        <v>761105</v>
      </c>
      <c r="D175" s="57" t="s">
        <v>195</v>
      </c>
      <c r="E175" s="22">
        <v>69.989999999999995</v>
      </c>
      <c r="F175" s="22"/>
      <c r="G175" s="22">
        <v>403.44</v>
      </c>
      <c r="H175" s="22"/>
      <c r="I175" s="22"/>
      <c r="J175" s="22"/>
      <c r="K175" s="22"/>
      <c r="L175" s="22"/>
      <c r="M175" s="22"/>
      <c r="N175" s="43"/>
      <c r="O175" s="22"/>
      <c r="P175" s="22">
        <v>277.57</v>
      </c>
      <c r="Q175" s="22"/>
      <c r="R175" s="22"/>
      <c r="S175" s="22"/>
      <c r="T175" s="22"/>
      <c r="U175" s="16">
        <f t="shared" si="15"/>
        <v>0</v>
      </c>
      <c r="V175" s="45" t="e">
        <f t="shared" si="16"/>
        <v>#DIV/0!</v>
      </c>
    </row>
    <row r="176" spans="1:22" x14ac:dyDescent="0.2">
      <c r="A176" s="3">
        <v>707150</v>
      </c>
      <c r="B176" s="3" t="s">
        <v>396</v>
      </c>
      <c r="C176" s="1">
        <v>763105</v>
      </c>
      <c r="D176" s="1" t="s">
        <v>134</v>
      </c>
      <c r="E176" s="22"/>
      <c r="F176" s="22"/>
      <c r="G176" s="22">
        <v>4865.66</v>
      </c>
      <c r="H176" s="22">
        <v>1950.18</v>
      </c>
      <c r="I176" s="22">
        <v>5194.96</v>
      </c>
      <c r="J176" s="22"/>
      <c r="K176" s="22">
        <v>2907.02</v>
      </c>
      <c r="L176" s="22">
        <v>1853.77</v>
      </c>
      <c r="M176" s="22">
        <v>1921.16</v>
      </c>
      <c r="N176" s="42">
        <v>2376.0100000000002</v>
      </c>
      <c r="O176" s="42">
        <v>2574.42</v>
      </c>
      <c r="P176" s="42"/>
      <c r="Q176" s="51">
        <v>1165.28</v>
      </c>
      <c r="R176" s="51"/>
      <c r="S176" s="51"/>
      <c r="T176" s="51"/>
      <c r="U176" s="16">
        <f t="shared" si="15"/>
        <v>0</v>
      </c>
      <c r="V176" s="45" t="e">
        <f t="shared" si="16"/>
        <v>#DIV/0!</v>
      </c>
    </row>
    <row r="177" spans="1:22" x14ac:dyDescent="0.2">
      <c r="A177" s="3">
        <v>707153</v>
      </c>
      <c r="B177" s="3" t="s">
        <v>399</v>
      </c>
      <c r="C177" s="1">
        <v>764100</v>
      </c>
      <c r="D177" s="1" t="s">
        <v>135</v>
      </c>
      <c r="E177" s="22">
        <v>13488.45</v>
      </c>
      <c r="F177" s="22">
        <v>15911.330000000002</v>
      </c>
      <c r="G177" s="22">
        <v>17446.080000000002</v>
      </c>
      <c r="H177" s="22">
        <v>11825.81</v>
      </c>
      <c r="I177" s="22">
        <v>8913.83</v>
      </c>
      <c r="J177" s="22">
        <v>7350.18</v>
      </c>
      <c r="K177" s="22">
        <v>7253.32</v>
      </c>
      <c r="L177" s="22">
        <v>6738.1500000000005</v>
      </c>
      <c r="M177" s="22">
        <v>6693.9400000000005</v>
      </c>
      <c r="N177" s="42">
        <v>7199.13</v>
      </c>
      <c r="O177" s="42">
        <v>7994.83</v>
      </c>
      <c r="P177" s="42">
        <v>6644.74</v>
      </c>
      <c r="Q177" s="51">
        <v>6489.64</v>
      </c>
      <c r="R177" s="39">
        <v>1141.6100000000001</v>
      </c>
      <c r="S177" s="41">
        <v>2366.4700000000003</v>
      </c>
      <c r="T177" s="41">
        <v>8841.18</v>
      </c>
      <c r="U177" s="16">
        <f t="shared" si="15"/>
        <v>6474.71</v>
      </c>
      <c r="V177" s="45">
        <f t="shared" si="16"/>
        <v>2.7360203171812865</v>
      </c>
    </row>
    <row r="178" spans="1:22" x14ac:dyDescent="0.2">
      <c r="A178" s="3">
        <v>707152</v>
      </c>
      <c r="B178" s="3" t="s">
        <v>398</v>
      </c>
      <c r="C178" s="1">
        <v>764104</v>
      </c>
      <c r="D178" s="1" t="s">
        <v>136</v>
      </c>
      <c r="E178" s="22">
        <v>3432.23</v>
      </c>
      <c r="F178" s="22">
        <v>3189.08</v>
      </c>
      <c r="G178" s="22">
        <v>13114.62</v>
      </c>
      <c r="H178" s="22">
        <v>14768.59</v>
      </c>
      <c r="I178" s="22">
        <v>10017.040000000001</v>
      </c>
      <c r="J178" s="22">
        <v>7718.47</v>
      </c>
      <c r="K178" s="22">
        <v>13336.45</v>
      </c>
      <c r="L178" s="22">
        <v>5565.04</v>
      </c>
      <c r="M178" s="22">
        <v>1644.16</v>
      </c>
      <c r="N178" s="42">
        <v>16033.63</v>
      </c>
      <c r="O178" s="42">
        <v>8927.0099999999984</v>
      </c>
      <c r="P178" s="42">
        <v>13970.57</v>
      </c>
      <c r="Q178" s="51">
        <v>8661.7999999999993</v>
      </c>
      <c r="R178" s="39">
        <v>1819.26</v>
      </c>
      <c r="S178" s="41">
        <v>1719.8700000000001</v>
      </c>
      <c r="T178" s="41">
        <v>2111.5300000000002</v>
      </c>
      <c r="U178" s="16">
        <f t="shared" si="15"/>
        <v>391.66000000000008</v>
      </c>
      <c r="V178" s="45">
        <f t="shared" si="16"/>
        <v>0.2277265142132836</v>
      </c>
    </row>
    <row r="179" spans="1:22" x14ac:dyDescent="0.2">
      <c r="A179" s="3">
        <v>707151</v>
      </c>
      <c r="B179" s="3" t="s">
        <v>397</v>
      </c>
      <c r="C179" s="1">
        <v>764110</v>
      </c>
      <c r="D179" s="1" t="s">
        <v>137</v>
      </c>
      <c r="E179" s="22">
        <v>3055.0099999999998</v>
      </c>
      <c r="F179" s="22">
        <v>3495.77</v>
      </c>
      <c r="G179" s="22">
        <v>5933.2299999999987</v>
      </c>
      <c r="H179" s="22">
        <v>6952.0999999999985</v>
      </c>
      <c r="I179" s="22">
        <v>6656.4999999999991</v>
      </c>
      <c r="J179" s="22">
        <v>6680.619999999999</v>
      </c>
      <c r="K179" s="22">
        <v>6765.38</v>
      </c>
      <c r="L179" s="22">
        <v>6344.0200000000013</v>
      </c>
      <c r="M179" s="22">
        <v>5132.58</v>
      </c>
      <c r="N179" s="42">
        <v>4928.47</v>
      </c>
      <c r="O179" s="42">
        <v>5055.1100000000006</v>
      </c>
      <c r="P179" s="42">
        <v>5011.0200000000004</v>
      </c>
      <c r="Q179" s="51">
        <v>4885</v>
      </c>
      <c r="R179" s="39">
        <v>10647.480000000001</v>
      </c>
      <c r="S179" s="41">
        <v>3797.3300000000004</v>
      </c>
      <c r="T179" s="41">
        <v>3865.41</v>
      </c>
      <c r="U179" s="16">
        <f t="shared" si="15"/>
        <v>68.079999999999472</v>
      </c>
      <c r="V179" s="45">
        <f t="shared" si="16"/>
        <v>1.7928386524215557E-2</v>
      </c>
    </row>
    <row r="180" spans="1:22" x14ac:dyDescent="0.2">
      <c r="A180" s="3">
        <v>707151</v>
      </c>
      <c r="B180" s="3" t="s">
        <v>397</v>
      </c>
      <c r="C180" s="1">
        <v>764120</v>
      </c>
      <c r="D180" s="1" t="s">
        <v>138</v>
      </c>
      <c r="E180" s="22">
        <v>191.2</v>
      </c>
      <c r="F180" s="22">
        <v>521.98</v>
      </c>
      <c r="G180" s="22">
        <v>403.58</v>
      </c>
      <c r="H180" s="22">
        <v>710.15000000000009</v>
      </c>
      <c r="I180" s="22">
        <v>650.70000000000005</v>
      </c>
      <c r="J180" s="22">
        <v>546.47</v>
      </c>
      <c r="K180" s="22">
        <v>598.82000000000005</v>
      </c>
      <c r="L180" s="22">
        <v>461.45</v>
      </c>
      <c r="M180" s="22">
        <v>236.59999999999997</v>
      </c>
      <c r="N180" s="42">
        <v>306.48</v>
      </c>
      <c r="O180" s="42">
        <v>322.76000000000005</v>
      </c>
      <c r="P180" s="42">
        <v>262.19</v>
      </c>
      <c r="Q180" s="51">
        <v>271.60000000000002</v>
      </c>
      <c r="R180" s="51"/>
      <c r="S180" s="51"/>
      <c r="T180" s="51"/>
      <c r="U180" s="16">
        <f t="shared" si="15"/>
        <v>0</v>
      </c>
      <c r="V180" s="45" t="e">
        <f t="shared" si="16"/>
        <v>#DIV/0!</v>
      </c>
    </row>
    <row r="181" spans="1:22" x14ac:dyDescent="0.2">
      <c r="C181" s="1">
        <v>764130</v>
      </c>
      <c r="D181" s="1" t="s">
        <v>139</v>
      </c>
      <c r="E181" s="22">
        <v>0.4</v>
      </c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  <c r="S181" s="22"/>
      <c r="T181" s="22"/>
      <c r="U181" s="16">
        <f t="shared" si="15"/>
        <v>0</v>
      </c>
      <c r="V181" s="45" t="e">
        <f t="shared" si="16"/>
        <v>#DIV/0!</v>
      </c>
    </row>
    <row r="182" spans="1:22" x14ac:dyDescent="0.2">
      <c r="A182" s="3">
        <v>707151</v>
      </c>
      <c r="B182" s="3" t="s">
        <v>397</v>
      </c>
      <c r="C182" s="1">
        <v>764140</v>
      </c>
      <c r="D182" s="1" t="s">
        <v>140</v>
      </c>
      <c r="E182" s="22"/>
      <c r="F182" s="22">
        <v>50.26</v>
      </c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  <c r="S182" s="22"/>
      <c r="T182" s="22"/>
      <c r="U182" s="16">
        <f t="shared" si="15"/>
        <v>0</v>
      </c>
      <c r="V182" s="45" t="e">
        <f t="shared" si="16"/>
        <v>#DIV/0!</v>
      </c>
    </row>
    <row r="183" spans="1:22" x14ac:dyDescent="0.2">
      <c r="A183" s="3">
        <v>707300</v>
      </c>
      <c r="B183" s="3" t="s">
        <v>401</v>
      </c>
      <c r="C183" s="1">
        <v>771100</v>
      </c>
      <c r="D183" s="1" t="s">
        <v>141</v>
      </c>
      <c r="E183" s="22">
        <v>15959.05</v>
      </c>
      <c r="F183" s="22">
        <v>23105.089999999993</v>
      </c>
      <c r="G183" s="22">
        <v>18102.449999999997</v>
      </c>
      <c r="H183" s="22">
        <v>14265.610000000002</v>
      </c>
      <c r="I183" s="22">
        <v>12786.429999999998</v>
      </c>
      <c r="J183" s="22">
        <v>21962.139999999996</v>
      </c>
      <c r="K183" s="22">
        <v>17536.14</v>
      </c>
      <c r="L183" s="22">
        <v>17645.46</v>
      </c>
      <c r="M183" s="22">
        <v>7642.1399999999985</v>
      </c>
      <c r="N183" s="42">
        <v>6311.65</v>
      </c>
      <c r="O183" s="42">
        <v>626.0200000000001</v>
      </c>
      <c r="P183" s="42">
        <v>810.91</v>
      </c>
      <c r="Q183" s="51">
        <v>388.69</v>
      </c>
      <c r="R183" s="51"/>
      <c r="S183" s="51"/>
      <c r="T183" s="51"/>
      <c r="U183" s="16">
        <f t="shared" si="15"/>
        <v>0</v>
      </c>
      <c r="V183" s="45" t="e">
        <f t="shared" si="16"/>
        <v>#DIV/0!</v>
      </c>
    </row>
    <row r="184" spans="1:22" x14ac:dyDescent="0.2">
      <c r="A184" s="3">
        <v>707300</v>
      </c>
      <c r="B184" s="3" t="s">
        <v>401</v>
      </c>
      <c r="C184" s="1">
        <v>771105</v>
      </c>
      <c r="D184" s="1" t="s">
        <v>142</v>
      </c>
      <c r="E184" s="22"/>
      <c r="F184" s="22"/>
      <c r="G184" s="22"/>
      <c r="H184" s="22"/>
      <c r="I184" s="22"/>
      <c r="J184" s="22"/>
      <c r="K184" s="22"/>
      <c r="L184" s="22"/>
      <c r="M184" s="22">
        <v>128</v>
      </c>
      <c r="N184" s="43"/>
      <c r="O184" s="42"/>
      <c r="P184" s="42"/>
      <c r="Q184" s="47"/>
      <c r="R184" s="47"/>
      <c r="S184" s="47"/>
      <c r="T184" s="47"/>
      <c r="U184" s="16">
        <f t="shared" si="15"/>
        <v>0</v>
      </c>
      <c r="V184" s="45" t="e">
        <f t="shared" si="16"/>
        <v>#DIV/0!</v>
      </c>
    </row>
    <row r="185" spans="1:22" x14ac:dyDescent="0.2">
      <c r="A185" s="3">
        <v>707300</v>
      </c>
      <c r="B185" s="3" t="s">
        <v>401</v>
      </c>
      <c r="C185" s="1">
        <v>771110</v>
      </c>
      <c r="D185" s="1" t="s">
        <v>143</v>
      </c>
      <c r="E185" s="22">
        <v>2136.86</v>
      </c>
      <c r="F185" s="22">
        <v>2062.73</v>
      </c>
      <c r="G185" s="22">
        <v>2112.06</v>
      </c>
      <c r="H185" s="22">
        <v>22025.93</v>
      </c>
      <c r="I185" s="22">
        <v>15124.859999999999</v>
      </c>
      <c r="J185" s="22">
        <v>22891.200000000001</v>
      </c>
      <c r="K185" s="22">
        <v>25198.48</v>
      </c>
      <c r="L185" s="22">
        <v>20481.36</v>
      </c>
      <c r="M185" s="22">
        <v>31541.77</v>
      </c>
      <c r="N185" s="42">
        <v>17093.350000000002</v>
      </c>
      <c r="O185" s="42">
        <v>23396.09</v>
      </c>
      <c r="P185" s="42">
        <v>18175.18</v>
      </c>
      <c r="Q185" s="51">
        <v>15056.84</v>
      </c>
      <c r="R185" s="39">
        <v>16511.18</v>
      </c>
      <c r="S185" s="41">
        <v>11730.100000000002</v>
      </c>
      <c r="T185" s="41">
        <v>2694.5900000000006</v>
      </c>
      <c r="U185" s="16">
        <f t="shared" si="15"/>
        <v>-9035.510000000002</v>
      </c>
      <c r="V185" s="45">
        <f t="shared" si="16"/>
        <v>-0.77028414080016372</v>
      </c>
    </row>
    <row r="186" spans="1:22" x14ac:dyDescent="0.2">
      <c r="A186" s="3">
        <v>707200</v>
      </c>
      <c r="B186" s="3" t="s">
        <v>400</v>
      </c>
      <c r="C186" s="1">
        <v>771115</v>
      </c>
      <c r="D186" s="1" t="s">
        <v>144</v>
      </c>
      <c r="E186" s="22">
        <v>1027.77</v>
      </c>
      <c r="F186" s="22">
        <v>137.69</v>
      </c>
      <c r="G186" s="22">
        <v>1742.8700000000001</v>
      </c>
      <c r="H186" s="22">
        <v>24.98</v>
      </c>
      <c r="I186" s="22"/>
      <c r="J186" s="22"/>
      <c r="K186" s="22"/>
      <c r="L186" s="22"/>
      <c r="M186" s="22"/>
      <c r="N186" s="42">
        <v>2028</v>
      </c>
      <c r="O186" s="22"/>
      <c r="P186" s="22"/>
      <c r="U186" s="16">
        <f t="shared" si="15"/>
        <v>0</v>
      </c>
      <c r="V186" s="45" t="e">
        <f t="shared" si="16"/>
        <v>#DIV/0!</v>
      </c>
    </row>
    <row r="187" spans="1:22" x14ac:dyDescent="0.2">
      <c r="A187" s="3">
        <v>707306</v>
      </c>
      <c r="B187" s="3" t="s">
        <v>406</v>
      </c>
      <c r="C187" s="1">
        <v>772100</v>
      </c>
      <c r="D187" s="1" t="s">
        <v>145</v>
      </c>
      <c r="E187" s="22"/>
      <c r="F187" s="22"/>
      <c r="G187" s="22"/>
      <c r="H187" s="22">
        <v>750</v>
      </c>
      <c r="I187" s="22">
        <v>659.38</v>
      </c>
      <c r="J187" s="22"/>
      <c r="K187" s="22">
        <v>1705.1000000000001</v>
      </c>
      <c r="L187" s="22">
        <v>11304.49</v>
      </c>
      <c r="M187" s="22">
        <v>8001.47</v>
      </c>
      <c r="N187" s="42">
        <v>11680.010000000002</v>
      </c>
      <c r="O187" s="42">
        <v>10290.68</v>
      </c>
      <c r="P187" s="42">
        <v>10203.64</v>
      </c>
      <c r="Q187" s="51">
        <v>15952.27</v>
      </c>
      <c r="R187" s="39">
        <v>9658.0000000000018</v>
      </c>
      <c r="S187" s="41">
        <v>2595.42</v>
      </c>
      <c r="T187" s="41">
        <v>158.97</v>
      </c>
      <c r="U187" s="16">
        <f t="shared" si="15"/>
        <v>-2436.4500000000003</v>
      </c>
      <c r="V187" s="45">
        <f t="shared" si="16"/>
        <v>-0.93874979772060019</v>
      </c>
    </row>
    <row r="188" spans="1:22" x14ac:dyDescent="0.2">
      <c r="A188" s="3">
        <v>702201</v>
      </c>
      <c r="B188" s="3" t="s">
        <v>443</v>
      </c>
      <c r="C188" s="1">
        <v>772105</v>
      </c>
      <c r="D188" s="1" t="s">
        <v>146</v>
      </c>
      <c r="U188" s="16">
        <f t="shared" si="15"/>
        <v>0</v>
      </c>
      <c r="V188" s="45" t="e">
        <f t="shared" si="16"/>
        <v>#DIV/0!</v>
      </c>
    </row>
    <row r="189" spans="1:22" x14ac:dyDescent="0.2">
      <c r="A189" s="3">
        <v>707502</v>
      </c>
      <c r="B189" s="3" t="s">
        <v>444</v>
      </c>
      <c r="C189" s="1">
        <v>772115</v>
      </c>
      <c r="D189" s="1" t="s">
        <v>147</v>
      </c>
      <c r="E189" s="22">
        <v>4206.8099999999995</v>
      </c>
      <c r="F189" s="22">
        <v>690.97</v>
      </c>
      <c r="G189" s="22">
        <v>3856.3</v>
      </c>
      <c r="H189" s="22">
        <v>1813.64</v>
      </c>
      <c r="I189" s="22">
        <v>25.94</v>
      </c>
      <c r="J189" s="22">
        <v>205.85</v>
      </c>
      <c r="K189" s="22">
        <v>435.12</v>
      </c>
      <c r="L189" s="22">
        <v>254.97</v>
      </c>
      <c r="M189" s="22">
        <v>955.24</v>
      </c>
      <c r="N189" s="42">
        <v>170.83</v>
      </c>
      <c r="O189" s="42">
        <v>5490.17</v>
      </c>
      <c r="P189" s="42">
        <v>21756.07</v>
      </c>
      <c r="Q189" s="51">
        <v>5038.1000000000004</v>
      </c>
      <c r="R189" s="51"/>
      <c r="S189" s="51"/>
      <c r="T189" s="51"/>
      <c r="U189" s="16">
        <f t="shared" si="15"/>
        <v>0</v>
      </c>
      <c r="V189" s="45" t="e">
        <f t="shared" si="16"/>
        <v>#DIV/0!</v>
      </c>
    </row>
    <row r="190" spans="1:22" x14ac:dyDescent="0.2">
      <c r="A190" s="3">
        <v>706501</v>
      </c>
      <c r="B190" s="3" t="s">
        <v>382</v>
      </c>
      <c r="C190" s="1">
        <v>772116</v>
      </c>
      <c r="D190" s="1" t="s">
        <v>148</v>
      </c>
      <c r="N190" s="42"/>
      <c r="Q190" s="51">
        <v>4773.78</v>
      </c>
      <c r="R190" s="51"/>
      <c r="S190" s="51"/>
      <c r="T190" s="51"/>
      <c r="U190" s="16">
        <f t="shared" si="15"/>
        <v>0</v>
      </c>
      <c r="V190" s="45" t="e">
        <f t="shared" si="16"/>
        <v>#DIV/0!</v>
      </c>
    </row>
    <row r="191" spans="1:22" x14ac:dyDescent="0.2">
      <c r="A191" s="3">
        <v>706502</v>
      </c>
      <c r="B191" s="3" t="s">
        <v>383</v>
      </c>
      <c r="C191" s="1">
        <v>772117</v>
      </c>
      <c r="D191" s="1" t="s">
        <v>149</v>
      </c>
      <c r="E191" s="22">
        <v>4637.3900000000003</v>
      </c>
      <c r="F191" s="22">
        <v>622.36</v>
      </c>
      <c r="G191" s="22">
        <v>2119</v>
      </c>
      <c r="H191" s="22">
        <v>13627.41</v>
      </c>
      <c r="I191" s="22"/>
      <c r="J191" s="22">
        <v>298.99</v>
      </c>
      <c r="K191" s="22">
        <v>956.6</v>
      </c>
      <c r="L191" s="22">
        <v>702.47</v>
      </c>
      <c r="M191" s="22"/>
      <c r="N191" s="42">
        <v>1838.25</v>
      </c>
      <c r="O191" s="42">
        <v>11046.09</v>
      </c>
      <c r="P191" s="42">
        <v>2610.7800000000002</v>
      </c>
      <c r="Q191" s="51">
        <v>3551.31</v>
      </c>
      <c r="R191" s="39">
        <v>3225.94</v>
      </c>
      <c r="S191" s="41">
        <v>967.28</v>
      </c>
      <c r="T191" s="41"/>
      <c r="U191" s="16">
        <f t="shared" si="15"/>
        <v>-967.28</v>
      </c>
      <c r="V191" s="45">
        <f t="shared" si="16"/>
        <v>-1</v>
      </c>
    </row>
    <row r="192" spans="1:22" x14ac:dyDescent="0.2">
      <c r="A192" s="72">
        <v>706503</v>
      </c>
      <c r="B192" s="72" t="s">
        <v>384</v>
      </c>
      <c r="C192" s="72">
        <v>772118</v>
      </c>
      <c r="D192" s="72" t="s">
        <v>290</v>
      </c>
      <c r="E192" s="22"/>
      <c r="F192" s="22"/>
      <c r="G192" s="22"/>
      <c r="H192" s="22"/>
      <c r="I192" s="22"/>
      <c r="J192" s="22"/>
      <c r="K192" s="22"/>
      <c r="L192" s="22"/>
      <c r="M192" s="22"/>
      <c r="N192" s="42"/>
      <c r="O192" s="42"/>
      <c r="P192" s="42"/>
      <c r="Q192" s="51"/>
      <c r="R192" s="39"/>
      <c r="S192" s="41">
        <v>148557.91</v>
      </c>
      <c r="T192" s="41"/>
      <c r="U192" s="16">
        <f t="shared" si="15"/>
        <v>-148557.91</v>
      </c>
      <c r="V192" s="45">
        <f t="shared" si="16"/>
        <v>-1</v>
      </c>
    </row>
    <row r="193" spans="1:22" x14ac:dyDescent="0.2">
      <c r="A193" s="3">
        <v>707301</v>
      </c>
      <c r="B193" s="3" t="s">
        <v>402</v>
      </c>
      <c r="C193" s="1">
        <v>772120</v>
      </c>
      <c r="D193" s="1" t="s">
        <v>150</v>
      </c>
      <c r="E193" s="22">
        <v>3212.5299999999997</v>
      </c>
      <c r="F193" s="22">
        <v>4041.63</v>
      </c>
      <c r="G193" s="22">
        <v>2255.1099999999997</v>
      </c>
      <c r="H193" s="22">
        <v>32099.060000000009</v>
      </c>
      <c r="I193" s="22">
        <v>57471.650000000009</v>
      </c>
      <c r="J193" s="22">
        <v>24387.19</v>
      </c>
      <c r="K193" s="22">
        <v>21433.389999999996</v>
      </c>
      <c r="L193" s="22">
        <v>14446.35</v>
      </c>
      <c r="M193" s="22">
        <v>15990.910000000002</v>
      </c>
      <c r="N193" s="42">
        <v>6070.69</v>
      </c>
      <c r="O193" s="42">
        <v>13792.949999999999</v>
      </c>
      <c r="P193" s="42">
        <v>19965.54</v>
      </c>
      <c r="Q193" s="51">
        <v>14037.11</v>
      </c>
      <c r="R193" s="39">
        <v>10360.59</v>
      </c>
      <c r="S193" s="41">
        <v>9479.93</v>
      </c>
      <c r="T193" s="41">
        <v>5068.97</v>
      </c>
      <c r="U193" s="16">
        <f t="shared" si="15"/>
        <v>-4410.96</v>
      </c>
      <c r="V193" s="45">
        <f t="shared" si="16"/>
        <v>-0.4652945749599417</v>
      </c>
    </row>
    <row r="194" spans="1:22" x14ac:dyDescent="0.2">
      <c r="A194" s="3">
        <v>702200</v>
      </c>
      <c r="B194" s="3" t="s">
        <v>74</v>
      </c>
      <c r="C194" s="1">
        <v>772125</v>
      </c>
      <c r="D194" s="1" t="s">
        <v>151</v>
      </c>
      <c r="E194" s="22"/>
      <c r="F194" s="22"/>
      <c r="G194" s="22"/>
      <c r="H194" s="22">
        <v>17.059999999999999</v>
      </c>
      <c r="I194" s="22"/>
      <c r="J194" s="22"/>
      <c r="K194" s="22">
        <v>1849.15</v>
      </c>
      <c r="L194" s="22">
        <v>1172.3700000000001</v>
      </c>
      <c r="M194" s="22">
        <v>930.95</v>
      </c>
      <c r="N194" s="42">
        <v>390.32000000000005</v>
      </c>
      <c r="O194" s="42">
        <v>2232.44</v>
      </c>
      <c r="P194" s="42">
        <v>7421.66</v>
      </c>
      <c r="Q194" s="51">
        <v>1239.44</v>
      </c>
      <c r="R194" s="51"/>
      <c r="S194" s="51"/>
      <c r="T194" s="51"/>
      <c r="U194" s="16">
        <f t="shared" si="15"/>
        <v>0</v>
      </c>
      <c r="V194" s="45" t="e">
        <f t="shared" si="16"/>
        <v>#DIV/0!</v>
      </c>
    </row>
    <row r="195" spans="1:22" x14ac:dyDescent="0.2">
      <c r="A195" s="3">
        <v>707303</v>
      </c>
      <c r="B195" s="3" t="s">
        <v>403</v>
      </c>
      <c r="C195" s="57">
        <v>772130</v>
      </c>
      <c r="D195" s="57" t="s">
        <v>196</v>
      </c>
      <c r="E195" s="22"/>
      <c r="F195" s="22"/>
      <c r="G195" s="22"/>
      <c r="H195" s="22"/>
      <c r="I195" s="22"/>
      <c r="J195" s="22"/>
      <c r="K195" s="22">
        <v>1985</v>
      </c>
      <c r="L195" s="22"/>
      <c r="M195" s="22"/>
      <c r="N195" s="22"/>
      <c r="O195" s="22"/>
      <c r="P195" s="22"/>
      <c r="Q195" s="22"/>
      <c r="R195" s="22"/>
      <c r="S195" s="22"/>
      <c r="T195" s="22"/>
      <c r="U195" s="16">
        <f t="shared" si="15"/>
        <v>0</v>
      </c>
      <c r="V195" s="45" t="e">
        <f t="shared" si="16"/>
        <v>#DIV/0!</v>
      </c>
    </row>
    <row r="196" spans="1:22" x14ac:dyDescent="0.2">
      <c r="A196" s="3">
        <v>707304</v>
      </c>
      <c r="B196" s="3" t="s">
        <v>404</v>
      </c>
      <c r="C196" s="1">
        <v>772135</v>
      </c>
      <c r="D196" s="1" t="s">
        <v>152</v>
      </c>
      <c r="E196" s="22">
        <v>600.76</v>
      </c>
      <c r="F196" s="22">
        <v>9982.57</v>
      </c>
      <c r="G196" s="22">
        <v>8066.1100000000006</v>
      </c>
      <c r="H196" s="22">
        <v>1824.8899999999999</v>
      </c>
      <c r="I196" s="22">
        <v>2934.84</v>
      </c>
      <c r="J196" s="22">
        <v>1837.48</v>
      </c>
      <c r="K196" s="22">
        <v>108.9</v>
      </c>
      <c r="L196" s="22">
        <v>3818.8900000000003</v>
      </c>
      <c r="M196" s="22">
        <v>7223.9699999999993</v>
      </c>
      <c r="N196" s="42">
        <v>5637.6200000000008</v>
      </c>
      <c r="O196" s="42">
        <v>66.150000000000006</v>
      </c>
      <c r="P196" s="42">
        <v>776.34</v>
      </c>
      <c r="Q196" s="51">
        <v>1598.97</v>
      </c>
      <c r="R196" s="39">
        <v>5328.98</v>
      </c>
      <c r="S196" s="41">
        <v>1700</v>
      </c>
      <c r="T196" s="41">
        <v>1294.5</v>
      </c>
      <c r="U196" s="16">
        <f t="shared" si="15"/>
        <v>-405.5</v>
      </c>
      <c r="V196" s="45">
        <f t="shared" si="16"/>
        <v>-0.23852941176470588</v>
      </c>
    </row>
    <row r="197" spans="1:22" x14ac:dyDescent="0.2">
      <c r="A197" s="3">
        <v>707309</v>
      </c>
      <c r="B197" s="3" t="s">
        <v>408</v>
      </c>
      <c r="C197" s="1">
        <v>772140</v>
      </c>
      <c r="D197" s="1" t="s">
        <v>153</v>
      </c>
      <c r="E197" s="22">
        <v>11395.730000000001</v>
      </c>
      <c r="F197" s="22">
        <v>17251.91</v>
      </c>
      <c r="G197" s="22">
        <v>21419.850000000002</v>
      </c>
      <c r="H197" s="22">
        <v>15313.21</v>
      </c>
      <c r="I197" s="22">
        <v>21171.420000000006</v>
      </c>
      <c r="J197" s="22">
        <v>24555.97</v>
      </c>
      <c r="K197" s="22">
        <v>18898.000000000004</v>
      </c>
      <c r="L197" s="22">
        <v>16619.009999999998</v>
      </c>
      <c r="M197" s="22">
        <v>33887.15</v>
      </c>
      <c r="N197" s="42">
        <v>26857.930000000004</v>
      </c>
      <c r="O197" s="42">
        <v>10369.640000000003</v>
      </c>
      <c r="P197" s="42">
        <v>18764.830000000002</v>
      </c>
      <c r="Q197" s="51">
        <v>43386.98000000001</v>
      </c>
      <c r="R197" s="39">
        <v>12675.68</v>
      </c>
      <c r="S197" s="41">
        <v>8831.2099999999991</v>
      </c>
      <c r="T197" s="41">
        <v>4772.5199999999995</v>
      </c>
      <c r="U197" s="16">
        <f t="shared" si="15"/>
        <v>-4058.6899999999996</v>
      </c>
      <c r="V197" s="45">
        <f t="shared" si="16"/>
        <v>-0.45958481340609042</v>
      </c>
    </row>
    <row r="198" spans="1:22" x14ac:dyDescent="0.2">
      <c r="A198" s="3">
        <v>707307</v>
      </c>
      <c r="B198" s="3" t="s">
        <v>407</v>
      </c>
      <c r="C198" s="1">
        <v>772150</v>
      </c>
      <c r="D198" s="1" t="s">
        <v>154</v>
      </c>
      <c r="E198" s="22">
        <v>1977.6100000000001</v>
      </c>
      <c r="F198" s="22">
        <v>8139.1</v>
      </c>
      <c r="G198" s="22">
        <v>9727.6200000000008</v>
      </c>
      <c r="H198" s="22">
        <v>849.95</v>
      </c>
      <c r="I198" s="22">
        <v>3364.98</v>
      </c>
      <c r="J198" s="22">
        <v>3081</v>
      </c>
      <c r="K198" s="22">
        <v>4272.13</v>
      </c>
      <c r="L198" s="22">
        <v>13570.69</v>
      </c>
      <c r="M198" s="22">
        <v>14051.260000000002</v>
      </c>
      <c r="N198" s="42">
        <v>2115.42</v>
      </c>
      <c r="O198" s="42">
        <v>2283.87</v>
      </c>
      <c r="P198" s="42">
        <v>5927.77</v>
      </c>
      <c r="Q198" s="51">
        <v>11273.58</v>
      </c>
      <c r="R198" s="39">
        <v>21223.03</v>
      </c>
      <c r="S198" s="41">
        <v>9868</v>
      </c>
      <c r="T198" s="41">
        <v>10898.019999999999</v>
      </c>
      <c r="U198" s="16">
        <f t="shared" si="15"/>
        <v>1030.0199999999986</v>
      </c>
      <c r="V198" s="45">
        <f t="shared" si="16"/>
        <v>0.10437981353871084</v>
      </c>
    </row>
    <row r="199" spans="1:22" x14ac:dyDescent="0.2">
      <c r="A199" s="3">
        <v>707350</v>
      </c>
      <c r="B199" s="3" t="s">
        <v>409</v>
      </c>
      <c r="C199" s="1">
        <v>773100</v>
      </c>
      <c r="D199" s="1" t="s">
        <v>155</v>
      </c>
      <c r="E199" s="22">
        <v>5408.8099999999995</v>
      </c>
      <c r="F199" s="22">
        <v>3173.65</v>
      </c>
      <c r="G199" s="22">
        <v>21818.05</v>
      </c>
      <c r="H199" s="22">
        <v>24936.41</v>
      </c>
      <c r="I199" s="22">
        <v>8756.17</v>
      </c>
      <c r="J199" s="22">
        <v>2169.33</v>
      </c>
      <c r="K199" s="22">
        <v>1839.8400000000001</v>
      </c>
      <c r="L199" s="22">
        <v>3658.98</v>
      </c>
      <c r="M199" s="22">
        <v>30527.54</v>
      </c>
      <c r="N199" s="42">
        <v>12120.869999999999</v>
      </c>
      <c r="O199" s="42">
        <v>16443.939999999999</v>
      </c>
      <c r="P199" s="42">
        <v>15643.39</v>
      </c>
      <c r="Q199" s="51">
        <v>7929.3899999999994</v>
      </c>
      <c r="R199" s="39">
        <v>9083.15</v>
      </c>
      <c r="S199" s="41">
        <v>3813.5700000000006</v>
      </c>
      <c r="T199" s="41">
        <v>59.370000000000005</v>
      </c>
      <c r="U199" s="16">
        <f t="shared" si="15"/>
        <v>-3754.2000000000007</v>
      </c>
      <c r="V199" s="45">
        <f t="shared" si="16"/>
        <v>-0.98443191025731802</v>
      </c>
    </row>
    <row r="200" spans="1:22" x14ac:dyDescent="0.2">
      <c r="A200" s="3">
        <v>707350</v>
      </c>
      <c r="B200" s="3" t="s">
        <v>409</v>
      </c>
      <c r="C200" s="1">
        <v>773110</v>
      </c>
      <c r="D200" s="1" t="s">
        <v>156</v>
      </c>
      <c r="E200" s="22">
        <v>4056.1000000000004</v>
      </c>
      <c r="F200" s="22">
        <v>3866.24</v>
      </c>
      <c r="G200" s="22">
        <v>7190.7999999999993</v>
      </c>
      <c r="H200" s="22">
        <v>3652.25</v>
      </c>
      <c r="I200" s="22">
        <v>1484.39</v>
      </c>
      <c r="J200" s="22">
        <v>2634.7599999999998</v>
      </c>
      <c r="K200" s="22">
        <v>4084.46</v>
      </c>
      <c r="L200" s="22">
        <v>5346.3799999999992</v>
      </c>
      <c r="M200" s="22">
        <v>4980.5600000000004</v>
      </c>
      <c r="N200" s="42">
        <v>9069.2100000000009</v>
      </c>
      <c r="O200" s="42">
        <v>5040.1000000000004</v>
      </c>
      <c r="P200" s="42">
        <v>8334.6</v>
      </c>
      <c r="Q200" s="51">
        <v>1491.43</v>
      </c>
      <c r="R200" s="51"/>
      <c r="S200" s="51"/>
      <c r="T200" s="51"/>
      <c r="U200" s="16">
        <f t="shared" si="15"/>
        <v>0</v>
      </c>
      <c r="V200" s="45" t="e">
        <f t="shared" si="16"/>
        <v>#DIV/0!</v>
      </c>
    </row>
    <row r="201" spans="1:22" x14ac:dyDescent="0.2">
      <c r="A201" s="3">
        <v>707403</v>
      </c>
      <c r="B201" s="3" t="s">
        <v>410</v>
      </c>
      <c r="C201" s="1">
        <v>773115</v>
      </c>
      <c r="D201" s="1" t="s">
        <v>157</v>
      </c>
      <c r="E201" s="22">
        <v>1535.1</v>
      </c>
      <c r="F201" s="22">
        <v>1555.92</v>
      </c>
      <c r="G201" s="22">
        <v>1599.52</v>
      </c>
      <c r="H201" s="22"/>
      <c r="I201" s="22"/>
      <c r="J201" s="22"/>
      <c r="K201" s="22">
        <v>34.04</v>
      </c>
      <c r="L201" s="22">
        <v>84.38</v>
      </c>
      <c r="M201" s="22"/>
      <c r="N201" s="22"/>
      <c r="O201" s="22"/>
      <c r="P201" s="22"/>
      <c r="Q201" s="22"/>
      <c r="R201" s="39">
        <v>78.600000000000009</v>
      </c>
      <c r="S201" s="41">
        <v>75.350000000000009</v>
      </c>
      <c r="T201" s="41"/>
      <c r="U201" s="16">
        <f t="shared" si="15"/>
        <v>-75.350000000000009</v>
      </c>
      <c r="V201" s="45">
        <f t="shared" si="16"/>
        <v>-1</v>
      </c>
    </row>
    <row r="202" spans="1:22" x14ac:dyDescent="0.2">
      <c r="A202" s="3">
        <v>707400</v>
      </c>
      <c r="B202" s="3" t="s">
        <v>158</v>
      </c>
      <c r="C202" s="1">
        <v>773120</v>
      </c>
      <c r="D202" s="1" t="s">
        <v>158</v>
      </c>
      <c r="E202" s="22">
        <v>9087.7099999999991</v>
      </c>
      <c r="F202" s="22">
        <v>6068.7100000000009</v>
      </c>
      <c r="G202" s="22">
        <v>9754.18</v>
      </c>
      <c r="H202" s="22">
        <v>8967.630000000001</v>
      </c>
      <c r="I202" s="22">
        <v>7622.56</v>
      </c>
      <c r="J202" s="22">
        <v>5882.7899999999991</v>
      </c>
      <c r="K202" s="22">
        <v>4571.0199999999995</v>
      </c>
      <c r="L202" s="22">
        <v>6631.4600000000009</v>
      </c>
      <c r="M202" s="22">
        <v>7433.5199999999995</v>
      </c>
      <c r="N202" s="42">
        <v>3785.0400000000004</v>
      </c>
      <c r="O202" s="42">
        <v>3042.6</v>
      </c>
      <c r="P202" s="42">
        <v>2480.56</v>
      </c>
      <c r="Q202" s="51">
        <v>2202.1</v>
      </c>
      <c r="R202" s="39">
        <v>1924.92</v>
      </c>
      <c r="S202" s="41">
        <v>2068.6600000000003</v>
      </c>
      <c r="T202" s="41">
        <v>691.24</v>
      </c>
      <c r="U202" s="16">
        <f t="shared" si="15"/>
        <v>-1377.4200000000003</v>
      </c>
      <c r="V202" s="45">
        <f t="shared" si="16"/>
        <v>-0.66585132404551739</v>
      </c>
    </row>
    <row r="203" spans="1:22" x14ac:dyDescent="0.2">
      <c r="A203" s="3">
        <v>702105</v>
      </c>
      <c r="B203" s="3" t="s">
        <v>350</v>
      </c>
      <c r="C203" s="1">
        <v>773125</v>
      </c>
      <c r="D203" s="1" t="s">
        <v>159</v>
      </c>
      <c r="E203" s="22">
        <v>38013.83</v>
      </c>
      <c r="F203" s="22">
        <v>37781.56</v>
      </c>
      <c r="G203" s="22">
        <v>36632.21</v>
      </c>
      <c r="H203" s="22">
        <v>58048.06</v>
      </c>
      <c r="I203" s="22">
        <v>32452.84</v>
      </c>
      <c r="J203" s="22">
        <v>54258.270000000011</v>
      </c>
      <c r="K203" s="22">
        <v>77453.389999999985</v>
      </c>
      <c r="L203" s="22">
        <v>59552.320000000007</v>
      </c>
      <c r="M203" s="22">
        <v>61110.879999999997</v>
      </c>
      <c r="N203" s="42">
        <v>72448.639999999999</v>
      </c>
      <c r="O203" s="42">
        <v>62154.619999999995</v>
      </c>
      <c r="P203" s="42">
        <v>37720.980000000003</v>
      </c>
      <c r="Q203" s="51">
        <v>20498.68</v>
      </c>
      <c r="R203" s="39">
        <v>7976.2000000000007</v>
      </c>
      <c r="S203" s="41">
        <v>8047.45</v>
      </c>
      <c r="T203" s="41">
        <v>1775</v>
      </c>
      <c r="U203" s="16">
        <f t="shared" si="15"/>
        <v>-6272.45</v>
      </c>
      <c r="V203" s="45">
        <f t="shared" si="16"/>
        <v>-0.77943323661532538</v>
      </c>
    </row>
    <row r="204" spans="1:22" x14ac:dyDescent="0.2">
      <c r="A204" s="3">
        <v>707505</v>
      </c>
      <c r="B204" s="3" t="s">
        <v>413</v>
      </c>
      <c r="C204" s="1">
        <v>773130</v>
      </c>
      <c r="D204" s="1" t="s">
        <v>160</v>
      </c>
      <c r="E204" s="22">
        <v>813.98</v>
      </c>
      <c r="F204" s="22">
        <v>603.62</v>
      </c>
      <c r="G204" s="22">
        <v>791.30000000000007</v>
      </c>
      <c r="H204" s="22">
        <v>785.63000000000011</v>
      </c>
      <c r="I204" s="22">
        <v>1285.81</v>
      </c>
      <c r="J204" s="22">
        <v>740.25</v>
      </c>
      <c r="K204" s="22">
        <v>889.52</v>
      </c>
      <c r="L204" s="22">
        <v>589.64</v>
      </c>
      <c r="M204" s="22">
        <v>229.99</v>
      </c>
      <c r="N204" s="42">
        <v>105.45</v>
      </c>
      <c r="O204" s="22"/>
      <c r="P204" s="22"/>
      <c r="Q204" s="22"/>
      <c r="R204" s="22"/>
      <c r="S204" s="22"/>
      <c r="T204" s="22"/>
      <c r="U204" s="16">
        <f t="shared" si="15"/>
        <v>0</v>
      </c>
      <c r="V204" s="45" t="e">
        <f t="shared" si="16"/>
        <v>#DIV/0!</v>
      </c>
    </row>
    <row r="205" spans="1:22" x14ac:dyDescent="0.2">
      <c r="A205" s="3">
        <v>707505</v>
      </c>
      <c r="B205" s="3" t="s">
        <v>413</v>
      </c>
      <c r="C205" s="1">
        <v>773135</v>
      </c>
      <c r="D205" s="1" t="s">
        <v>161</v>
      </c>
      <c r="E205" s="22">
        <v>1614.24</v>
      </c>
      <c r="F205" s="22">
        <v>1862.38</v>
      </c>
      <c r="G205" s="22">
        <v>235.47</v>
      </c>
      <c r="H205" s="22">
        <v>13125</v>
      </c>
      <c r="I205" s="22">
        <v>11264.650000000001</v>
      </c>
      <c r="J205" s="22">
        <v>2588.6099999999997</v>
      </c>
      <c r="K205" s="22">
        <v>1381.04</v>
      </c>
      <c r="L205" s="22">
        <v>761.53</v>
      </c>
      <c r="M205" s="22">
        <v>386.36</v>
      </c>
      <c r="N205" s="42">
        <v>337.54</v>
      </c>
      <c r="O205" s="42">
        <v>9.4500000000000011</v>
      </c>
      <c r="P205" s="42">
        <v>275</v>
      </c>
      <c r="Q205" s="51">
        <v>76.77</v>
      </c>
      <c r="R205" s="69">
        <v>34.65</v>
      </c>
      <c r="S205" s="41">
        <v>138.05000000000001</v>
      </c>
      <c r="T205" s="41"/>
      <c r="U205" s="16">
        <f t="shared" si="15"/>
        <v>-138.05000000000001</v>
      </c>
      <c r="V205" s="45">
        <f t="shared" si="16"/>
        <v>-1</v>
      </c>
    </row>
    <row r="206" spans="1:22" x14ac:dyDescent="0.2">
      <c r="A206" s="3">
        <v>707452</v>
      </c>
      <c r="B206" s="3" t="s">
        <v>412</v>
      </c>
      <c r="C206" s="1">
        <v>773141</v>
      </c>
      <c r="D206" s="1" t="s">
        <v>162</v>
      </c>
      <c r="E206" s="22">
        <v>3895.05</v>
      </c>
      <c r="F206" s="22">
        <v>7008.63</v>
      </c>
      <c r="G206" s="22">
        <v>8345.75</v>
      </c>
      <c r="H206" s="22">
        <v>5458.58</v>
      </c>
      <c r="I206" s="22">
        <v>2442.84</v>
      </c>
      <c r="J206" s="22">
        <v>1827.26</v>
      </c>
      <c r="K206" s="22">
        <v>3199.44</v>
      </c>
      <c r="L206" s="22">
        <v>3516.8500000000004</v>
      </c>
      <c r="M206" s="22">
        <v>2490.08</v>
      </c>
      <c r="N206" s="42">
        <v>3000.54</v>
      </c>
      <c r="O206" s="42">
        <v>3174.97</v>
      </c>
      <c r="P206" s="42">
        <v>3593.12</v>
      </c>
      <c r="Q206" s="51">
        <v>3549.75</v>
      </c>
      <c r="R206" s="39">
        <v>3783.55</v>
      </c>
      <c r="S206" s="41">
        <v>4967.1900000000005</v>
      </c>
      <c r="T206" s="41">
        <v>3212.4300000000003</v>
      </c>
      <c r="U206" s="16">
        <f t="shared" si="15"/>
        <v>-1754.7600000000002</v>
      </c>
      <c r="V206" s="45">
        <f t="shared" si="16"/>
        <v>-0.35327015878192702</v>
      </c>
    </row>
    <row r="207" spans="1:22" x14ac:dyDescent="0.2">
      <c r="A207" s="3">
        <v>707450</v>
      </c>
      <c r="B207" s="3" t="s">
        <v>411</v>
      </c>
      <c r="C207" s="57">
        <v>773142</v>
      </c>
      <c r="D207" s="57" t="s">
        <v>197</v>
      </c>
      <c r="E207" s="22"/>
      <c r="F207" s="22"/>
      <c r="G207" s="22"/>
      <c r="H207" s="22"/>
      <c r="I207" s="22"/>
      <c r="J207" s="22"/>
      <c r="K207" s="22"/>
      <c r="L207" s="22">
        <v>2430</v>
      </c>
      <c r="M207" s="22"/>
      <c r="N207" s="22"/>
      <c r="O207" s="22"/>
      <c r="P207" s="22"/>
      <c r="Q207" s="22"/>
      <c r="R207" s="22"/>
      <c r="S207" s="22"/>
      <c r="T207" s="22"/>
      <c r="U207" s="16">
        <f t="shared" si="15"/>
        <v>0</v>
      </c>
      <c r="V207" s="45" t="e">
        <f t="shared" si="16"/>
        <v>#DIV/0!</v>
      </c>
    </row>
    <row r="208" spans="1:22" x14ac:dyDescent="0.2">
      <c r="A208" s="3">
        <v>707450</v>
      </c>
      <c r="B208" s="3" t="s">
        <v>411</v>
      </c>
      <c r="C208" s="1">
        <v>773144</v>
      </c>
      <c r="D208" s="1" t="s">
        <v>163</v>
      </c>
      <c r="E208" s="22"/>
      <c r="F208" s="22"/>
      <c r="G208" s="22"/>
      <c r="H208" s="22"/>
      <c r="I208" s="22"/>
      <c r="J208" s="22"/>
      <c r="K208" s="22"/>
      <c r="L208" s="22">
        <v>4695</v>
      </c>
      <c r="M208" s="22"/>
      <c r="N208" s="22"/>
      <c r="O208" s="22"/>
      <c r="P208" s="22"/>
      <c r="Q208" s="22"/>
      <c r="R208" s="22"/>
      <c r="S208" s="22"/>
      <c r="T208" s="22"/>
      <c r="U208" s="16">
        <f t="shared" si="15"/>
        <v>0</v>
      </c>
      <c r="V208" s="45" t="e">
        <f t="shared" si="16"/>
        <v>#DIV/0!</v>
      </c>
    </row>
    <row r="209" spans="1:22" x14ac:dyDescent="0.2">
      <c r="A209" s="3">
        <v>707451</v>
      </c>
      <c r="B209" s="3" t="s">
        <v>446</v>
      </c>
      <c r="C209" s="57">
        <v>773145</v>
      </c>
      <c r="D209" s="57" t="s">
        <v>198</v>
      </c>
      <c r="E209" s="22"/>
      <c r="F209" s="22"/>
      <c r="G209" s="22">
        <v>100450</v>
      </c>
      <c r="H209" s="22">
        <v>14051.61</v>
      </c>
      <c r="I209" s="22">
        <v>39398.39</v>
      </c>
      <c r="J209" s="22">
        <v>1350</v>
      </c>
      <c r="K209" s="22">
        <v>19941.59</v>
      </c>
      <c r="L209" s="22">
        <v>25651.919999999998</v>
      </c>
      <c r="M209" s="22">
        <v>10041.530000000001</v>
      </c>
      <c r="N209" s="42">
        <v>3266.85</v>
      </c>
      <c r="O209" s="42">
        <v>18422.37</v>
      </c>
      <c r="P209" s="42">
        <v>18758.2</v>
      </c>
      <c r="Q209" s="42"/>
      <c r="R209" s="42"/>
      <c r="S209" s="42"/>
      <c r="T209" s="42"/>
      <c r="U209" s="16">
        <f t="shared" si="15"/>
        <v>0</v>
      </c>
      <c r="V209" s="45" t="e">
        <f t="shared" si="16"/>
        <v>#DIV/0!</v>
      </c>
    </row>
    <row r="210" spans="1:22" x14ac:dyDescent="0.2">
      <c r="A210">
        <v>702102</v>
      </c>
      <c r="B210" t="s">
        <v>348</v>
      </c>
      <c r="C210" s="37">
        <v>773155</v>
      </c>
      <c r="D210" s="57"/>
      <c r="E210" s="22"/>
      <c r="F210" s="22"/>
      <c r="G210" s="22"/>
      <c r="H210" s="22"/>
      <c r="I210" s="22"/>
      <c r="J210" s="22"/>
      <c r="K210" s="22"/>
      <c r="L210" s="22"/>
      <c r="M210" s="22"/>
      <c r="N210" s="42"/>
      <c r="O210" s="42"/>
      <c r="P210" s="42"/>
      <c r="Q210" s="42"/>
      <c r="R210" s="36">
        <v>668.02</v>
      </c>
      <c r="S210" s="36"/>
      <c r="T210" s="36"/>
      <c r="U210" s="16">
        <f t="shared" si="15"/>
        <v>0</v>
      </c>
      <c r="V210" s="45" t="e">
        <f t="shared" si="16"/>
        <v>#DIV/0!</v>
      </c>
    </row>
    <row r="211" spans="1:22" x14ac:dyDescent="0.2">
      <c r="A211" s="3">
        <v>702100</v>
      </c>
      <c r="B211" s="3" t="s">
        <v>347</v>
      </c>
      <c r="C211" s="57">
        <v>773160</v>
      </c>
      <c r="D211" s="57" t="s">
        <v>201</v>
      </c>
      <c r="E211" s="22"/>
      <c r="F211" s="22"/>
      <c r="G211" s="22"/>
      <c r="H211" s="22">
        <v>123</v>
      </c>
      <c r="I211" s="22"/>
      <c r="J211" s="22">
        <v>1575</v>
      </c>
      <c r="K211" s="22">
        <v>500</v>
      </c>
      <c r="L211" s="22"/>
      <c r="M211" s="22"/>
      <c r="N211" s="22"/>
      <c r="O211" s="22"/>
      <c r="P211" s="22"/>
      <c r="Q211" s="22"/>
      <c r="R211" s="22"/>
      <c r="S211" s="22"/>
      <c r="T211" s="22">
        <v>1280.5</v>
      </c>
      <c r="U211" s="16">
        <f t="shared" si="15"/>
        <v>1280.5</v>
      </c>
      <c r="V211" s="45" t="e">
        <f t="shared" si="16"/>
        <v>#DIV/0!</v>
      </c>
    </row>
    <row r="212" spans="1:22" x14ac:dyDescent="0.2">
      <c r="A212" s="3">
        <v>707590</v>
      </c>
      <c r="B212" s="3" t="s">
        <v>415</v>
      </c>
      <c r="C212" s="1">
        <v>774120</v>
      </c>
      <c r="D212" s="1" t="s">
        <v>164</v>
      </c>
      <c r="E212" s="22">
        <v>84729.38</v>
      </c>
      <c r="F212" s="22">
        <v>113662.39000000001</v>
      </c>
      <c r="G212" s="22">
        <v>275921.08999999997</v>
      </c>
      <c r="H212" s="22">
        <v>287850.59999999992</v>
      </c>
      <c r="I212" s="22">
        <v>204719.11000000004</v>
      </c>
      <c r="J212" s="22">
        <v>239000.22</v>
      </c>
      <c r="K212" s="22">
        <v>297645.02</v>
      </c>
      <c r="L212" s="22">
        <v>126576.97999999998</v>
      </c>
      <c r="M212" s="22">
        <v>158925.75000000003</v>
      </c>
      <c r="N212" s="42">
        <v>122090.85</v>
      </c>
      <c r="O212" s="42">
        <v>45050.850000000006</v>
      </c>
      <c r="P212" s="42">
        <v>19368.88</v>
      </c>
      <c r="Q212" s="51">
        <v>109558.84000000001</v>
      </c>
      <c r="R212" s="69">
        <v>153587.6</v>
      </c>
      <c r="S212" s="41">
        <v>138031.06</v>
      </c>
      <c r="T212" s="41">
        <v>67312.649999999994</v>
      </c>
      <c r="U212" s="16">
        <f t="shared" si="15"/>
        <v>-70718.41</v>
      </c>
      <c r="V212" s="45">
        <f t="shared" si="16"/>
        <v>-0.51233693344092268</v>
      </c>
    </row>
    <row r="213" spans="1:22" x14ac:dyDescent="0.2">
      <c r="A213" s="3">
        <v>707506</v>
      </c>
      <c r="B213" s="3" t="s">
        <v>414</v>
      </c>
      <c r="C213" s="57">
        <v>774130</v>
      </c>
      <c r="D213" s="57" t="s">
        <v>202</v>
      </c>
      <c r="E213" s="22"/>
      <c r="F213" s="22">
        <v>174.85</v>
      </c>
      <c r="G213" s="22"/>
      <c r="H213" s="22"/>
      <c r="I213" s="22"/>
      <c r="J213" s="22">
        <v>36</v>
      </c>
      <c r="K213" s="22"/>
      <c r="L213" s="22"/>
      <c r="M213" s="22"/>
      <c r="N213" s="22"/>
      <c r="O213" s="22"/>
      <c r="P213" s="22"/>
      <c r="Q213" s="51">
        <v>267.94</v>
      </c>
      <c r="R213" s="39">
        <v>-50</v>
      </c>
      <c r="S213" s="39"/>
      <c r="T213" s="39"/>
      <c r="U213" s="16">
        <f t="shared" si="15"/>
        <v>0</v>
      </c>
      <c r="V213" s="45" t="e">
        <f t="shared" si="16"/>
        <v>#DIV/0!</v>
      </c>
    </row>
    <row r="214" spans="1:22" x14ac:dyDescent="0.2">
      <c r="A214" s="3">
        <v>707506</v>
      </c>
      <c r="B214" s="3" t="s">
        <v>414</v>
      </c>
      <c r="C214" s="57">
        <v>774140</v>
      </c>
      <c r="D214" s="57" t="s">
        <v>203</v>
      </c>
      <c r="E214" s="22">
        <v>2918.14</v>
      </c>
      <c r="F214" s="22">
        <v>3303.9700000000003</v>
      </c>
      <c r="G214" s="22">
        <v>3867.2000000000003</v>
      </c>
      <c r="H214" s="22">
        <v>3219.39</v>
      </c>
      <c r="I214" s="22">
        <v>893.51</v>
      </c>
      <c r="J214" s="22"/>
      <c r="K214" s="22"/>
      <c r="L214" s="22"/>
      <c r="M214" s="22"/>
      <c r="N214" s="22"/>
      <c r="O214" s="22"/>
      <c r="P214" s="22"/>
      <c r="Q214" s="22"/>
      <c r="R214" s="22"/>
      <c r="S214" s="22"/>
      <c r="T214" s="22"/>
      <c r="U214" s="16">
        <f t="shared" si="15"/>
        <v>0</v>
      </c>
      <c r="V214" s="45" t="e">
        <f t="shared" si="16"/>
        <v>#DIV/0!</v>
      </c>
    </row>
    <row r="215" spans="1:22" x14ac:dyDescent="0.2">
      <c r="A215" s="3">
        <v>708025</v>
      </c>
      <c r="B215" s="3" t="s">
        <v>448</v>
      </c>
      <c r="C215" s="1">
        <v>781100</v>
      </c>
      <c r="D215" s="1" t="s">
        <v>165</v>
      </c>
      <c r="E215" s="22">
        <v>2524.2200000000003</v>
      </c>
      <c r="F215" s="22"/>
      <c r="G215" s="22"/>
      <c r="H215" s="22">
        <v>40.369999999999997</v>
      </c>
      <c r="I215" s="22"/>
      <c r="J215" s="22"/>
      <c r="K215" s="22">
        <v>138</v>
      </c>
      <c r="L215" s="22"/>
      <c r="M215" s="22"/>
      <c r="N215" s="22"/>
      <c r="O215" s="42">
        <v>526.18000000000006</v>
      </c>
      <c r="P215" s="42"/>
      <c r="Q215" s="42"/>
      <c r="R215" s="42"/>
      <c r="S215" s="42"/>
      <c r="T215" s="42"/>
      <c r="U215" s="16">
        <f t="shared" si="15"/>
        <v>0</v>
      </c>
      <c r="V215" s="45" t="e">
        <f t="shared" si="16"/>
        <v>#DIV/0!</v>
      </c>
    </row>
    <row r="216" spans="1:22" x14ac:dyDescent="0.2">
      <c r="A216" s="3">
        <v>707595</v>
      </c>
      <c r="B216" s="3" t="s">
        <v>416</v>
      </c>
      <c r="C216" s="57">
        <v>782115</v>
      </c>
      <c r="D216" s="57" t="s">
        <v>272</v>
      </c>
      <c r="E216" s="22"/>
      <c r="F216" s="22"/>
      <c r="G216" s="22"/>
      <c r="H216" s="22"/>
      <c r="I216" s="22"/>
      <c r="J216" s="22">
        <v>13.06</v>
      </c>
      <c r="K216" s="22">
        <v>6.5600000000000005</v>
      </c>
      <c r="L216" s="22">
        <v>6.99</v>
      </c>
      <c r="M216" s="22">
        <v>6.3900000000000006</v>
      </c>
      <c r="N216" s="42">
        <v>7.57</v>
      </c>
      <c r="O216" s="42">
        <v>13.77</v>
      </c>
      <c r="P216" s="42">
        <v>28.35</v>
      </c>
      <c r="Q216" s="51">
        <v>57.13</v>
      </c>
      <c r="R216" s="39">
        <v>93.350000000000009</v>
      </c>
      <c r="S216" s="41">
        <v>28.68</v>
      </c>
      <c r="T216" s="41"/>
      <c r="U216" s="16">
        <f t="shared" ref="U216:U229" si="17">T216-S216</f>
        <v>-28.68</v>
      </c>
      <c r="V216" s="45">
        <f t="shared" ref="V216:V236" si="18">U216/S216</f>
        <v>-1</v>
      </c>
    </row>
    <row r="217" spans="1:22" x14ac:dyDescent="0.2">
      <c r="A217" s="3">
        <v>708021</v>
      </c>
      <c r="B217" s="3" t="s">
        <v>417</v>
      </c>
      <c r="C217" s="1">
        <v>784202</v>
      </c>
      <c r="D217" s="1" t="s">
        <v>166</v>
      </c>
      <c r="E217" s="22"/>
      <c r="F217" s="22"/>
      <c r="G217" s="22">
        <v>18367.990000000002</v>
      </c>
      <c r="H217" s="22">
        <v>25568.190000000002</v>
      </c>
      <c r="I217" s="22">
        <v>3750</v>
      </c>
      <c r="J217" s="22">
        <v>6450</v>
      </c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16">
        <f t="shared" si="17"/>
        <v>0</v>
      </c>
      <c r="V217" s="45" t="e">
        <f t="shared" si="18"/>
        <v>#DIV/0!</v>
      </c>
    </row>
    <row r="218" spans="1:22" x14ac:dyDescent="0.2">
      <c r="A218" s="3">
        <v>708023</v>
      </c>
      <c r="B218" s="3" t="s">
        <v>418</v>
      </c>
      <c r="C218" s="1">
        <v>784203</v>
      </c>
      <c r="D218" s="1" t="s">
        <v>167</v>
      </c>
      <c r="E218" s="22"/>
      <c r="F218" s="22"/>
      <c r="G218" s="22"/>
      <c r="H218" s="22"/>
      <c r="I218" s="22"/>
      <c r="J218" s="22">
        <v>28449.55</v>
      </c>
      <c r="K218" s="22"/>
      <c r="L218" s="22"/>
      <c r="M218" s="22"/>
      <c r="N218" s="42">
        <v>5380</v>
      </c>
      <c r="O218" s="22"/>
      <c r="P218" s="22"/>
      <c r="Q218" s="22"/>
      <c r="R218" s="22"/>
      <c r="S218" s="22"/>
      <c r="T218" s="22"/>
      <c r="U218" s="16">
        <f t="shared" si="17"/>
        <v>0</v>
      </c>
      <c r="V218" s="45" t="e">
        <f t="shared" si="18"/>
        <v>#DIV/0!</v>
      </c>
    </row>
    <row r="219" spans="1:22" x14ac:dyDescent="0.2">
      <c r="A219" s="3">
        <v>708061</v>
      </c>
      <c r="B219" s="3" t="s">
        <v>422</v>
      </c>
      <c r="C219" s="1">
        <v>784302</v>
      </c>
      <c r="D219" s="1" t="s">
        <v>168</v>
      </c>
      <c r="E219" s="26"/>
      <c r="F219" s="26"/>
      <c r="G219" s="26">
        <v>2248.8000000000002</v>
      </c>
      <c r="H219" s="26">
        <v>8263.36</v>
      </c>
      <c r="I219" s="26"/>
      <c r="J219" s="26"/>
      <c r="K219" s="26"/>
      <c r="L219" s="26"/>
      <c r="M219" s="26">
        <v>8265.6</v>
      </c>
      <c r="N219" s="34"/>
      <c r="O219" s="34"/>
      <c r="P219" s="34"/>
      <c r="Q219" s="34"/>
      <c r="R219" s="34"/>
      <c r="S219" s="34"/>
      <c r="T219" s="34"/>
      <c r="U219" s="16">
        <f t="shared" si="17"/>
        <v>0</v>
      </c>
      <c r="V219" s="45" t="e">
        <f t="shared" si="18"/>
        <v>#DIV/0!</v>
      </c>
    </row>
    <row r="220" spans="1:22" x14ac:dyDescent="0.2">
      <c r="A220" s="3">
        <v>708063</v>
      </c>
      <c r="B220" s="3" t="s">
        <v>423</v>
      </c>
      <c r="C220" s="1">
        <v>784304</v>
      </c>
      <c r="D220" s="1" t="s">
        <v>169</v>
      </c>
      <c r="E220" s="26">
        <v>3206.12</v>
      </c>
      <c r="F220" s="26"/>
      <c r="G220" s="26"/>
      <c r="H220" s="26">
        <v>5354</v>
      </c>
      <c r="I220" s="26">
        <v>198</v>
      </c>
      <c r="J220" s="26"/>
      <c r="K220" s="26"/>
      <c r="L220" s="26">
        <v>8005.88</v>
      </c>
      <c r="M220" s="26"/>
      <c r="N220" s="36">
        <v>1775</v>
      </c>
      <c r="O220" s="36">
        <v>483.45</v>
      </c>
      <c r="P220" s="36">
        <v>43241.34</v>
      </c>
      <c r="Q220" s="36"/>
      <c r="R220" s="36"/>
      <c r="S220" s="36"/>
      <c r="T220" s="36"/>
      <c r="U220" s="16">
        <f t="shared" si="17"/>
        <v>0</v>
      </c>
      <c r="V220" s="45" t="e">
        <f t="shared" si="18"/>
        <v>#DIV/0!</v>
      </c>
    </row>
    <row r="221" spans="1:22" x14ac:dyDescent="0.2">
      <c r="A221" s="3">
        <v>708030</v>
      </c>
      <c r="B221" s="3" t="s">
        <v>419</v>
      </c>
      <c r="C221" s="1">
        <v>784307</v>
      </c>
      <c r="D221" s="1" t="s">
        <v>170</v>
      </c>
      <c r="E221" s="26"/>
      <c r="F221" s="26"/>
      <c r="G221" s="26"/>
      <c r="H221" s="26">
        <v>1514</v>
      </c>
      <c r="I221" s="26">
        <v>2727.69</v>
      </c>
      <c r="J221" s="26">
        <v>1576</v>
      </c>
      <c r="K221" s="26"/>
      <c r="L221" s="26"/>
      <c r="M221" s="26">
        <v>2679</v>
      </c>
      <c r="N221" s="34"/>
      <c r="O221" s="34"/>
      <c r="P221" s="34"/>
      <c r="Q221" s="34"/>
      <c r="R221" s="34"/>
      <c r="S221" s="34"/>
      <c r="T221" s="34"/>
      <c r="U221" s="16">
        <f t="shared" si="17"/>
        <v>0</v>
      </c>
      <c r="V221" s="45" t="e">
        <f t="shared" si="18"/>
        <v>#DIV/0!</v>
      </c>
    </row>
    <row r="222" spans="1:22" x14ac:dyDescent="0.2">
      <c r="A222" s="3">
        <v>708060</v>
      </c>
      <c r="B222" s="3" t="s">
        <v>421</v>
      </c>
      <c r="C222" s="1">
        <v>784308</v>
      </c>
      <c r="D222" s="1" t="s">
        <v>171</v>
      </c>
      <c r="E222" s="26">
        <v>11019.14</v>
      </c>
      <c r="F222" s="26"/>
      <c r="G222" s="26">
        <v>2520</v>
      </c>
      <c r="H222" s="26"/>
      <c r="I222" s="26"/>
      <c r="J222" s="26">
        <v>7321.43</v>
      </c>
      <c r="K222" s="26">
        <v>622.64</v>
      </c>
      <c r="L222" s="26">
        <v>10427.280000000001</v>
      </c>
      <c r="M222" s="26">
        <v>100</v>
      </c>
      <c r="N222" s="34"/>
      <c r="O222" s="36">
        <v>100303.06</v>
      </c>
      <c r="P222" s="36"/>
      <c r="Q222" s="36"/>
      <c r="R222" s="36"/>
      <c r="S222" s="36"/>
      <c r="T222" s="36"/>
      <c r="U222" s="16">
        <f t="shared" si="17"/>
        <v>0</v>
      </c>
      <c r="V222" s="45" t="e">
        <f t="shared" si="18"/>
        <v>#DIV/0!</v>
      </c>
    </row>
    <row r="223" spans="1:22" x14ac:dyDescent="0.2">
      <c r="A223" s="3">
        <v>708040</v>
      </c>
      <c r="B223" s="3" t="s">
        <v>420</v>
      </c>
      <c r="C223" s="1">
        <v>784401</v>
      </c>
      <c r="D223" s="1" t="s">
        <v>172</v>
      </c>
      <c r="E223" s="26">
        <v>4439.1399999999994</v>
      </c>
      <c r="F223" s="26"/>
      <c r="G223" s="26">
        <v>7557.98</v>
      </c>
      <c r="H223" s="26">
        <v>6387.6500000000005</v>
      </c>
      <c r="I223" s="26">
        <v>1095.68</v>
      </c>
      <c r="J223" s="26"/>
      <c r="K223" s="26">
        <v>12195.87</v>
      </c>
      <c r="L223" s="26">
        <v>12587.210000000001</v>
      </c>
      <c r="M223" s="26">
        <v>14835.890000000001</v>
      </c>
      <c r="N223" s="36">
        <v>14163.99</v>
      </c>
      <c r="O223" s="36">
        <v>4697.72</v>
      </c>
      <c r="P223" s="36">
        <v>498</v>
      </c>
      <c r="Q223" s="39">
        <v>9682.4800000000014</v>
      </c>
      <c r="R223" s="39">
        <v>1951.09</v>
      </c>
      <c r="S223" s="41">
        <v>23857.73</v>
      </c>
      <c r="T223" s="41">
        <v>6145.76</v>
      </c>
      <c r="U223" s="16">
        <f t="shared" si="17"/>
        <v>-17711.97</v>
      </c>
      <c r="V223" s="45">
        <f t="shared" si="18"/>
        <v>-0.74239963315872892</v>
      </c>
    </row>
    <row r="224" spans="1:22" x14ac:dyDescent="0.2">
      <c r="A224" s="3">
        <v>708080</v>
      </c>
      <c r="B224" s="3" t="s">
        <v>451</v>
      </c>
      <c r="C224" s="25">
        <v>784402</v>
      </c>
      <c r="D224" s="25" t="s">
        <v>261</v>
      </c>
      <c r="E224" s="26"/>
      <c r="F224" s="26"/>
      <c r="G224" s="26"/>
      <c r="H224" s="26"/>
      <c r="I224" s="26"/>
      <c r="J224" s="26"/>
      <c r="K224" s="26">
        <v>84</v>
      </c>
      <c r="L224" s="26"/>
      <c r="M224" s="26"/>
      <c r="N224" s="34"/>
      <c r="O224" s="36"/>
      <c r="U224" s="16">
        <f t="shared" si="17"/>
        <v>0</v>
      </c>
      <c r="V224" s="45" t="e">
        <f t="shared" si="18"/>
        <v>#DIV/0!</v>
      </c>
    </row>
    <row r="225" spans="1:22" x14ac:dyDescent="0.2">
      <c r="A225" s="3">
        <v>708060</v>
      </c>
      <c r="B225" s="3" t="s">
        <v>421</v>
      </c>
      <c r="C225" s="1">
        <v>784501</v>
      </c>
      <c r="D225" s="1" t="s">
        <v>173</v>
      </c>
      <c r="E225" s="26"/>
      <c r="F225" s="26">
        <v>5508.27</v>
      </c>
      <c r="G225" s="26"/>
      <c r="H225" s="26"/>
      <c r="I225" s="26">
        <v>6401</v>
      </c>
      <c r="J225" s="26"/>
      <c r="K225" s="26">
        <v>2399.39</v>
      </c>
      <c r="L225" s="26">
        <v>1775</v>
      </c>
      <c r="M225" s="26">
        <v>1189</v>
      </c>
      <c r="N225" s="36">
        <v>802.96</v>
      </c>
      <c r="O225" s="36">
        <v>4353</v>
      </c>
      <c r="P225" s="36">
        <v>2504</v>
      </c>
      <c r="Q225" s="36"/>
      <c r="R225" s="39">
        <v>6260</v>
      </c>
      <c r="S225" s="41">
        <v>7034.5</v>
      </c>
      <c r="T225" s="41"/>
      <c r="U225" s="16">
        <f t="shared" si="17"/>
        <v>-7034.5</v>
      </c>
      <c r="V225" s="45">
        <f t="shared" si="18"/>
        <v>-1</v>
      </c>
    </row>
    <row r="226" spans="1:22" x14ac:dyDescent="0.2">
      <c r="A226" s="3">
        <v>708060</v>
      </c>
      <c r="B226" s="3" t="s">
        <v>421</v>
      </c>
      <c r="C226" s="1">
        <v>784505</v>
      </c>
      <c r="D226" s="38" t="s">
        <v>262</v>
      </c>
      <c r="E226" s="34"/>
      <c r="F226" s="34"/>
      <c r="G226" s="34"/>
      <c r="H226" s="34"/>
      <c r="I226" s="34"/>
      <c r="J226" s="34"/>
      <c r="K226" s="34"/>
      <c r="L226" s="34"/>
      <c r="M226" s="34"/>
      <c r="N226" s="36"/>
      <c r="O226" s="36"/>
      <c r="P226" s="36">
        <v>229.99</v>
      </c>
      <c r="Q226" s="36"/>
      <c r="R226" s="36"/>
      <c r="S226" s="36"/>
      <c r="T226" s="36"/>
      <c r="U226" s="16">
        <f t="shared" si="17"/>
        <v>0</v>
      </c>
      <c r="V226" s="45" t="e">
        <f t="shared" si="18"/>
        <v>#DIV/0!</v>
      </c>
    </row>
    <row r="227" spans="1:22" x14ac:dyDescent="0.2">
      <c r="A227" s="3">
        <v>708021</v>
      </c>
      <c r="B227" s="3" t="s">
        <v>417</v>
      </c>
      <c r="C227" s="1">
        <v>784604</v>
      </c>
      <c r="D227" s="1" t="s">
        <v>174</v>
      </c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16">
        <f t="shared" si="17"/>
        <v>0</v>
      </c>
      <c r="V227" s="45" t="e">
        <f t="shared" si="18"/>
        <v>#DIV/0!</v>
      </c>
    </row>
    <row r="228" spans="1:22" x14ac:dyDescent="0.2">
      <c r="A228" s="3">
        <v>801000</v>
      </c>
      <c r="B228" s="3" t="s">
        <v>456</v>
      </c>
      <c r="C228" s="1">
        <v>811100</v>
      </c>
      <c r="D228" s="1" t="s">
        <v>273</v>
      </c>
      <c r="E228" s="2"/>
      <c r="F228" s="2">
        <v>-3000</v>
      </c>
      <c r="G228" s="2">
        <v>-3000</v>
      </c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16">
        <f t="shared" si="17"/>
        <v>0</v>
      </c>
      <c r="V228" s="45" t="e">
        <f t="shared" si="18"/>
        <v>#DIV/0!</v>
      </c>
    </row>
    <row r="229" spans="1:22" x14ac:dyDescent="0.2">
      <c r="C229" s="3" t="s">
        <v>234</v>
      </c>
      <c r="D229" s="3" t="s">
        <v>235</v>
      </c>
      <c r="E229" s="2"/>
      <c r="F229" s="2"/>
      <c r="G229" s="2"/>
      <c r="H229" s="2"/>
      <c r="I229" s="2"/>
      <c r="J229" s="2">
        <v>44387.91</v>
      </c>
      <c r="K229" s="2"/>
      <c r="L229" s="2"/>
      <c r="M229" s="2"/>
      <c r="N229" s="2">
        <v>11765</v>
      </c>
      <c r="O229" s="2">
        <v>10000</v>
      </c>
      <c r="P229" s="2"/>
      <c r="Q229" s="2"/>
      <c r="R229" s="2"/>
      <c r="S229" s="2"/>
      <c r="T229" s="2"/>
      <c r="U229" s="16">
        <f t="shared" si="17"/>
        <v>0</v>
      </c>
      <c r="V229" s="45" t="e">
        <f t="shared" si="18"/>
        <v>#DIV/0!</v>
      </c>
    </row>
    <row r="230" spans="1:22" x14ac:dyDescent="0.2">
      <c r="D230" s="5" t="s">
        <v>233</v>
      </c>
      <c r="E230" s="11">
        <f t="shared" ref="E230:U230" si="19">SUM(E88:E229)</f>
        <v>2593676.8000000003</v>
      </c>
      <c r="F230" s="11">
        <f t="shared" si="19"/>
        <v>2603529.4800000004</v>
      </c>
      <c r="G230" s="11">
        <f t="shared" si="19"/>
        <v>3516592.5700000008</v>
      </c>
      <c r="H230" s="11">
        <f t="shared" si="19"/>
        <v>3846164.8400000003</v>
      </c>
      <c r="I230" s="11">
        <f t="shared" si="19"/>
        <v>3300713.4</v>
      </c>
      <c r="J230" s="11">
        <f t="shared" si="19"/>
        <v>3614639.3800000008</v>
      </c>
      <c r="K230" s="11">
        <f t="shared" si="19"/>
        <v>3412913.42</v>
      </c>
      <c r="L230" s="11">
        <f t="shared" si="19"/>
        <v>3653031.1799999997</v>
      </c>
      <c r="M230" s="11">
        <f t="shared" si="19"/>
        <v>3891762.7200000021</v>
      </c>
      <c r="N230" s="11">
        <f t="shared" si="19"/>
        <v>3633153.560000001</v>
      </c>
      <c r="O230" s="11">
        <f t="shared" si="19"/>
        <v>3112794.51</v>
      </c>
      <c r="P230" s="11">
        <f t="shared" si="19"/>
        <v>2305129.1100000003</v>
      </c>
      <c r="Q230" s="11">
        <f t="shared" si="19"/>
        <v>2473620.8700000006</v>
      </c>
      <c r="R230" s="11">
        <f t="shared" si="19"/>
        <v>2293831.9199999995</v>
      </c>
      <c r="S230" s="11">
        <f t="shared" si="19"/>
        <v>1531507.01</v>
      </c>
      <c r="T230" s="11">
        <f t="shared" si="19"/>
        <v>585422.32999999996</v>
      </c>
      <c r="U230" s="20">
        <f t="shared" si="19"/>
        <v>-946084.67999999982</v>
      </c>
      <c r="V230" s="45">
        <f t="shared" si="18"/>
        <v>-0.61774753482845624</v>
      </c>
    </row>
    <row r="231" spans="1:22" x14ac:dyDescent="0.2"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S231" s="4"/>
      <c r="T231" s="4"/>
      <c r="U231" s="16"/>
      <c r="V231" s="45"/>
    </row>
    <row r="232" spans="1:22" x14ac:dyDescent="0.2">
      <c r="C232" s="3" t="s">
        <v>218</v>
      </c>
      <c r="E232" s="4"/>
      <c r="F232" s="4"/>
      <c r="G232" s="4"/>
      <c r="H232" s="4"/>
      <c r="I232" s="4">
        <v>789511.92</v>
      </c>
      <c r="J232" s="4">
        <v>849826.62</v>
      </c>
      <c r="K232" s="4">
        <v>782968</v>
      </c>
      <c r="L232" s="4">
        <v>791930.2</v>
      </c>
      <c r="M232" s="4">
        <v>640173.04</v>
      </c>
      <c r="N232" s="4">
        <f t="shared" ref="N232:S232" si="20">N11</f>
        <v>668977.55000000005</v>
      </c>
      <c r="O232" s="4">
        <f t="shared" si="20"/>
        <v>519145.41</v>
      </c>
      <c r="P232" s="4">
        <f t="shared" si="20"/>
        <v>487842.99</v>
      </c>
      <c r="Q232" s="4">
        <f t="shared" si="20"/>
        <v>547992.07999999996</v>
      </c>
      <c r="R232" s="4">
        <f t="shared" si="20"/>
        <v>642950.92000000004</v>
      </c>
      <c r="S232" s="4">
        <f t="shared" si="20"/>
        <v>284258.2</v>
      </c>
      <c r="T232" s="4">
        <f t="shared" ref="T232" si="21">T11</f>
        <v>303782.3</v>
      </c>
      <c r="U232" s="16">
        <f t="shared" ref="U232" si="22">T232-S232</f>
        <v>19524.099999999977</v>
      </c>
      <c r="V232" s="45">
        <f t="shared" ref="V232" si="23">U232/S232</f>
        <v>6.8684386237582509E-2</v>
      </c>
    </row>
    <row r="233" spans="1:22" x14ac:dyDescent="0.2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16"/>
      <c r="V233" s="45"/>
    </row>
    <row r="234" spans="1:22" x14ac:dyDescent="0.2">
      <c r="C234" s="3" t="s">
        <v>219</v>
      </c>
      <c r="E234" s="4"/>
      <c r="F234" s="4"/>
      <c r="G234" s="4"/>
      <c r="H234" s="4"/>
      <c r="I234" s="4">
        <v>464045.09</v>
      </c>
      <c r="J234" s="4">
        <v>470110.43</v>
      </c>
      <c r="K234" s="4">
        <v>541409.84</v>
      </c>
      <c r="L234" s="4">
        <v>514656.51</v>
      </c>
      <c r="M234" s="4">
        <v>460345.64</v>
      </c>
      <c r="N234" s="4">
        <f t="shared" ref="N234:S234" si="24">N12</f>
        <v>460946.22</v>
      </c>
      <c r="O234" s="4">
        <f t="shared" si="24"/>
        <v>512642.85</v>
      </c>
      <c r="P234" s="4">
        <f t="shared" si="24"/>
        <v>463327.48</v>
      </c>
      <c r="Q234" s="4">
        <f t="shared" si="24"/>
        <v>380396.3</v>
      </c>
      <c r="R234" s="4">
        <f t="shared" si="24"/>
        <v>359577.03</v>
      </c>
      <c r="S234" s="4">
        <f t="shared" si="24"/>
        <v>255953.18</v>
      </c>
      <c r="T234" s="4">
        <f t="shared" ref="T234" si="25">T12</f>
        <v>241824.98</v>
      </c>
      <c r="U234" s="16">
        <f t="shared" ref="U234" si="26">T234-S234</f>
        <v>-14128.199999999983</v>
      </c>
      <c r="V234" s="45">
        <f t="shared" ref="V234" si="27">U234/S234</f>
        <v>-5.519837651557985E-2</v>
      </c>
    </row>
    <row r="235" spans="1:22" x14ac:dyDescent="0.2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16"/>
      <c r="V235" s="45"/>
    </row>
    <row r="236" spans="1:22" ht="13.5" thickBot="1" x14ac:dyDescent="0.25">
      <c r="D236" s="14" t="s">
        <v>2</v>
      </c>
      <c r="E236" s="10">
        <f t="shared" ref="E236:U236" si="28">E87+E230+SUM(E231:E235)</f>
        <v>4823391.2</v>
      </c>
      <c r="F236" s="10">
        <f t="shared" si="28"/>
        <v>5119818.7</v>
      </c>
      <c r="G236" s="10">
        <f t="shared" si="28"/>
        <v>7221668.8399999999</v>
      </c>
      <c r="H236" s="10">
        <f t="shared" si="28"/>
        <v>8061621.6699999999</v>
      </c>
      <c r="I236" s="10">
        <f t="shared" si="28"/>
        <v>8433306.5199999996</v>
      </c>
      <c r="J236" s="10">
        <f t="shared" si="28"/>
        <v>9008469.5100000016</v>
      </c>
      <c r="K236" s="10">
        <f t="shared" si="28"/>
        <v>9531647.3399999999</v>
      </c>
      <c r="L236" s="10">
        <f t="shared" si="28"/>
        <v>9521698.3100000005</v>
      </c>
      <c r="M236" s="10">
        <f t="shared" si="28"/>
        <v>9031328.5300000031</v>
      </c>
      <c r="N236" s="10">
        <f t="shared" si="28"/>
        <v>9162831.2300000004</v>
      </c>
      <c r="O236" s="10">
        <f t="shared" si="28"/>
        <v>8819846.1199999992</v>
      </c>
      <c r="P236" s="10">
        <f t="shared" si="28"/>
        <v>7368186.9199999999</v>
      </c>
      <c r="Q236" s="10">
        <f t="shared" si="28"/>
        <v>6921815.3099999996</v>
      </c>
      <c r="R236" s="10">
        <f t="shared" si="28"/>
        <v>6758551.1499999994</v>
      </c>
      <c r="S236" s="10">
        <f t="shared" si="28"/>
        <v>4724553.6500000004</v>
      </c>
      <c r="T236" s="10">
        <f t="shared" si="28"/>
        <v>3796610.5300000003</v>
      </c>
      <c r="U236" s="21">
        <f t="shared" si="28"/>
        <v>-927943.11999999976</v>
      </c>
      <c r="V236" s="45">
        <f t="shared" si="18"/>
        <v>-0.19640863216782387</v>
      </c>
    </row>
    <row r="237" spans="1:22" ht="13.5" thickTop="1" x14ac:dyDescent="0.2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</row>
    <row r="238" spans="1:22" x14ac:dyDescent="0.2">
      <c r="C238" s="3" t="s">
        <v>220</v>
      </c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</row>
    <row r="239" spans="1:22" x14ac:dyDescent="0.2">
      <c r="C239" s="3" t="s">
        <v>221</v>
      </c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2" x14ac:dyDescent="0.2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3:20" x14ac:dyDescent="0.2"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3:20" x14ac:dyDescent="0.2">
      <c r="C242" s="12" t="s">
        <v>482</v>
      </c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</sheetData>
  <phoneticPr fontId="10" type="noConversion"/>
  <pageMargins left="0" right="0" top="0" bottom="0.5" header="0" footer="0"/>
  <pageSetup paperSize="5" scale="69" fitToHeight="20" orientation="landscape" r:id="rId1"/>
  <headerFooter>
    <oddFooter>&amp;R&amp;8Page &amp;P of &amp;N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W247"/>
  <sheetViews>
    <sheetView zoomScaleNormal="100" workbookViewId="0">
      <pane xSplit="4" ySplit="7" topLeftCell="P210" activePane="bottomRight" state="frozen"/>
      <selection pane="topRight" activeCell="C1" sqref="C1"/>
      <selection pane="bottomLeft" activeCell="A8" sqref="A8"/>
      <selection pane="bottomRight" activeCell="V228" sqref="V228"/>
    </sheetView>
  </sheetViews>
  <sheetFormatPr defaultColWidth="9.140625" defaultRowHeight="12.75" x14ac:dyDescent="0.2"/>
  <cols>
    <col min="1" max="1" width="7.140625" style="3" bestFit="1" customWidth="1"/>
    <col min="2" max="2" width="36.85546875" style="3" bestFit="1" customWidth="1"/>
    <col min="3" max="3" width="13.85546875" style="3" customWidth="1"/>
    <col min="4" max="4" width="19.28515625" style="3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15.570312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227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12509587.26</v>
      </c>
      <c r="F9" s="4">
        <v>12945319.15</v>
      </c>
      <c r="G9" s="4">
        <v>13544401.35</v>
      </c>
      <c r="H9" s="4">
        <v>14191363.469999999</v>
      </c>
      <c r="I9" s="4">
        <v>12004639.209999999</v>
      </c>
      <c r="J9" s="4">
        <v>12663388.310000001</v>
      </c>
      <c r="K9" s="4">
        <v>12417466.92</v>
      </c>
      <c r="L9" s="4">
        <v>9986541.2899999991</v>
      </c>
      <c r="M9" s="4">
        <v>11122795.83</v>
      </c>
      <c r="N9" s="4">
        <v>12108694.109999999</v>
      </c>
      <c r="O9" s="4">
        <v>13422353.310000001</v>
      </c>
      <c r="P9" s="4">
        <f>8493211.26+4918885.02</f>
        <v>13412096.279999999</v>
      </c>
      <c r="Q9" s="4">
        <f>8193419.65+5141976.52</f>
        <v>13335396.17</v>
      </c>
      <c r="R9" s="4">
        <f>8102742.04+5638006.16</f>
        <v>13740748.199999999</v>
      </c>
      <c r="S9" s="4">
        <f>8591216.7+5720996.37</f>
        <v>14312213.07</v>
      </c>
      <c r="T9" s="4">
        <f>8173734.08+5653245</f>
        <v>13826979.08</v>
      </c>
      <c r="U9" s="16">
        <f>T9-S9</f>
        <v>-485233.99000000022</v>
      </c>
      <c r="V9" s="45">
        <f>U9/S9</f>
        <v>-3.3903491208994434E-2</v>
      </c>
    </row>
    <row r="10" spans="1:22" x14ac:dyDescent="0.2">
      <c r="C10" s="3" t="s">
        <v>1</v>
      </c>
      <c r="E10" s="4">
        <v>4845193.34</v>
      </c>
      <c r="F10" s="4">
        <v>5320794.41</v>
      </c>
      <c r="G10" s="4">
        <v>5164739.05</v>
      </c>
      <c r="H10" s="4">
        <v>7757907.1200000001</v>
      </c>
      <c r="I10" s="4">
        <v>5454699.8399999999</v>
      </c>
      <c r="J10" s="4">
        <v>5076315.08</v>
      </c>
      <c r="K10" s="4">
        <v>5249805.92</v>
      </c>
      <c r="L10" s="4">
        <v>3674542.09</v>
      </c>
      <c r="M10" s="4">
        <v>5522279.7699999996</v>
      </c>
      <c r="N10" s="4">
        <v>6421855.7400000002</v>
      </c>
      <c r="O10" s="4">
        <v>5861078.2199999997</v>
      </c>
      <c r="P10" s="4">
        <v>6028361.3799999999</v>
      </c>
      <c r="Q10" s="4">
        <v>5522139.7800000003</v>
      </c>
      <c r="R10" s="4">
        <v>9896797.7100000009</v>
      </c>
      <c r="S10" s="4">
        <f>3493234.77+4686090.33</f>
        <v>8179325.0999999996</v>
      </c>
      <c r="T10" s="4">
        <v>2981301.34</v>
      </c>
      <c r="U10" s="16">
        <f t="shared" ref="U10:U12" si="0">T10-S10</f>
        <v>-5198023.76</v>
      </c>
      <c r="V10" s="45">
        <f t="shared" ref="V10:V13" si="1">U10/S10</f>
        <v>-0.63550766065038788</v>
      </c>
    </row>
    <row r="11" spans="1:22" x14ac:dyDescent="0.2">
      <c r="C11" s="3" t="s">
        <v>218</v>
      </c>
      <c r="E11" s="4"/>
      <c r="F11" s="4"/>
      <c r="G11" s="4"/>
      <c r="H11" s="4"/>
      <c r="I11" s="4">
        <v>2439904.0699999998</v>
      </c>
      <c r="J11" s="4">
        <v>2641620.98</v>
      </c>
      <c r="K11" s="4">
        <v>2027900.9</v>
      </c>
      <c r="L11" s="4">
        <v>1733560.77</v>
      </c>
      <c r="M11" s="4">
        <v>1783409.22</v>
      </c>
      <c r="N11" s="4">
        <v>1861852.51</v>
      </c>
      <c r="O11" s="4">
        <v>1500268.6</v>
      </c>
      <c r="P11" s="4">
        <v>1592808.88</v>
      </c>
      <c r="Q11" s="4">
        <v>2076163.12</v>
      </c>
      <c r="R11" s="4">
        <v>2551744.2599999998</v>
      </c>
      <c r="S11" s="4">
        <v>1533590.85</v>
      </c>
      <c r="T11" s="4">
        <v>1575788.42</v>
      </c>
      <c r="U11" s="16">
        <f t="shared" si="0"/>
        <v>42197.569999999832</v>
      </c>
      <c r="V11" s="45">
        <f t="shared" si="1"/>
        <v>2.7515533233652138E-2</v>
      </c>
    </row>
    <row r="12" spans="1:22" x14ac:dyDescent="0.2">
      <c r="C12" s="3" t="s">
        <v>219</v>
      </c>
      <c r="E12" s="4"/>
      <c r="F12" s="4"/>
      <c r="G12" s="4"/>
      <c r="H12" s="4"/>
      <c r="I12" s="4">
        <v>1434082.84</v>
      </c>
      <c r="J12" s="4">
        <v>1461302.29</v>
      </c>
      <c r="K12" s="4">
        <v>1402261.02</v>
      </c>
      <c r="L12" s="4">
        <v>1126599.72</v>
      </c>
      <c r="M12" s="4">
        <v>1282441.79</v>
      </c>
      <c r="N12" s="4">
        <v>1282873.95</v>
      </c>
      <c r="O12" s="4">
        <v>1481476.97</v>
      </c>
      <c r="P12" s="4">
        <v>1512765.67</v>
      </c>
      <c r="Q12" s="4">
        <v>1441197.41</v>
      </c>
      <c r="R12" s="4">
        <v>1427089.69</v>
      </c>
      <c r="S12" s="4">
        <v>1380883.53</v>
      </c>
      <c r="T12" s="4">
        <v>1254401.58</v>
      </c>
      <c r="U12" s="16">
        <f t="shared" si="0"/>
        <v>-126481.94999999995</v>
      </c>
      <c r="V12" s="45">
        <f t="shared" si="1"/>
        <v>-9.1594944289037861E-2</v>
      </c>
    </row>
    <row r="13" spans="1:22" ht="13.5" thickBot="1" x14ac:dyDescent="0.25">
      <c r="C13" s="3" t="s">
        <v>2</v>
      </c>
      <c r="E13" s="10">
        <f t="shared" ref="E13:U13" si="2">SUM(E9:E12)</f>
        <v>17354780.600000001</v>
      </c>
      <c r="F13" s="10">
        <f t="shared" si="2"/>
        <v>18266113.560000002</v>
      </c>
      <c r="G13" s="10">
        <f t="shared" si="2"/>
        <v>18709140.399999999</v>
      </c>
      <c r="H13" s="10">
        <f t="shared" si="2"/>
        <v>21949270.59</v>
      </c>
      <c r="I13" s="10">
        <f t="shared" si="2"/>
        <v>21333325.959999997</v>
      </c>
      <c r="J13" s="10">
        <f t="shared" si="2"/>
        <v>21842626.66</v>
      </c>
      <c r="K13" s="10">
        <f t="shared" si="2"/>
        <v>21097434.759999998</v>
      </c>
      <c r="L13" s="10">
        <f t="shared" si="2"/>
        <v>16521243.869999999</v>
      </c>
      <c r="M13" s="10">
        <f t="shared" si="2"/>
        <v>19710926.609999999</v>
      </c>
      <c r="N13" s="10">
        <f t="shared" si="2"/>
        <v>21675276.310000002</v>
      </c>
      <c r="O13" s="10">
        <f t="shared" si="2"/>
        <v>22265177.100000001</v>
      </c>
      <c r="P13" s="10">
        <f t="shared" si="2"/>
        <v>22546032.210000001</v>
      </c>
      <c r="Q13" s="10">
        <f t="shared" si="2"/>
        <v>22374896.48</v>
      </c>
      <c r="R13" s="10">
        <f t="shared" si="2"/>
        <v>27616379.860000003</v>
      </c>
      <c r="S13" s="10">
        <f t="shared" si="2"/>
        <v>25406012.550000004</v>
      </c>
      <c r="T13" s="10">
        <f t="shared" si="2"/>
        <v>19638470.420000002</v>
      </c>
      <c r="U13" s="21">
        <f t="shared" si="2"/>
        <v>-5767542.1299999999</v>
      </c>
      <c r="V13" s="45">
        <f t="shared" si="1"/>
        <v>-0.22701485007335395</v>
      </c>
    </row>
    <row r="14" spans="1:22" ht="13.5" thickTop="1" x14ac:dyDescent="0.2">
      <c r="E14" s="13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6"/>
    </row>
    <row r="15" spans="1:22" x14ac:dyDescent="0.2">
      <c r="C15" s="8" t="s">
        <v>216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E16" s="13"/>
      <c r="F16" s="13"/>
      <c r="G16" s="13"/>
      <c r="H16" s="13"/>
      <c r="I16" s="13"/>
      <c r="J16" s="13"/>
      <c r="K16" s="13"/>
      <c r="L16" s="13"/>
      <c r="M16" s="13"/>
      <c r="N16" s="13"/>
      <c r="O16" s="13"/>
      <c r="P16" s="13"/>
      <c r="Q16" s="13"/>
      <c r="R16" s="13"/>
      <c r="S16" s="13"/>
      <c r="T16" s="13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  <c r="P17" s="13"/>
      <c r="Q17" s="13"/>
      <c r="R17" s="13"/>
      <c r="S17" s="13"/>
      <c r="T17" s="13"/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">
        <v>3321004.3800000004</v>
      </c>
      <c r="F18" s="2">
        <v>3281590.1599999997</v>
      </c>
      <c r="G18" s="2">
        <v>3436509.8200000003</v>
      </c>
      <c r="H18" s="2">
        <v>3214138.58</v>
      </c>
      <c r="I18" s="2">
        <v>2465693.37</v>
      </c>
      <c r="J18" s="2">
        <v>2631106.5499999998</v>
      </c>
      <c r="K18" s="2">
        <v>2784665.6700000004</v>
      </c>
      <c r="L18" s="2">
        <v>2955004.96</v>
      </c>
      <c r="M18" s="61">
        <v>3664851.3600000003</v>
      </c>
      <c r="N18" s="42">
        <v>4215243.17</v>
      </c>
      <c r="O18" s="42">
        <f>4630081.14+361435.41+0.01</f>
        <v>4991516.5599999996</v>
      </c>
      <c r="P18" s="42">
        <f>4237599.86+330234.21</f>
        <v>4567834.07</v>
      </c>
      <c r="Q18" s="49">
        <f>4415411.66+323799.57</f>
        <v>4739211.2300000004</v>
      </c>
      <c r="R18" s="39">
        <f>5988626.65+626401.45</f>
        <v>6615028.1000000006</v>
      </c>
      <c r="S18" s="41">
        <f>6193355.32+723185.29</f>
        <v>6916540.6100000003</v>
      </c>
      <c r="T18" s="41">
        <f>6189282.26+693878.31</f>
        <v>6883160.5700000003</v>
      </c>
      <c r="U18" s="16">
        <f t="shared" ref="U18" si="3">T18-S18</f>
        <v>-33380.040000000037</v>
      </c>
      <c r="V18" s="45">
        <f t="shared" ref="V18" si="4">U18/S18</f>
        <v>-4.8261178358063647E-3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">
        <v>61804.520000000004</v>
      </c>
      <c r="F19" s="2">
        <v>67365.47</v>
      </c>
      <c r="G19" s="2">
        <v>67888.38</v>
      </c>
      <c r="H19" s="2">
        <v>75121.78</v>
      </c>
      <c r="I19" s="2">
        <v>75919.91</v>
      </c>
      <c r="J19" s="2">
        <v>79355.650000000009</v>
      </c>
      <c r="K19" s="2">
        <v>79975.03</v>
      </c>
      <c r="L19" s="2">
        <v>18276.900000000001</v>
      </c>
      <c r="M19" s="61">
        <v>17602</v>
      </c>
      <c r="N19" s="42">
        <v>16694</v>
      </c>
      <c r="O19" s="42">
        <v>5521</v>
      </c>
      <c r="P19" s="42"/>
      <c r="Q19" s="42"/>
      <c r="R19" s="42"/>
      <c r="S19" s="42"/>
      <c r="T19" s="42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">
        <v>126846.79000000001</v>
      </c>
      <c r="F20" s="2">
        <v>135371.75</v>
      </c>
      <c r="G20" s="2">
        <v>170553.71</v>
      </c>
      <c r="H20" s="2">
        <v>175424.63</v>
      </c>
      <c r="I20" s="2">
        <v>88614.9</v>
      </c>
      <c r="J20" s="2">
        <v>89009.99</v>
      </c>
      <c r="K20" s="2">
        <v>90353.600000000006</v>
      </c>
      <c r="L20" s="2">
        <v>89663.85</v>
      </c>
      <c r="M20" s="61">
        <v>7047.77</v>
      </c>
      <c r="N20" s="43"/>
      <c r="O20" s="42">
        <f>334.39</f>
        <v>334.39</v>
      </c>
      <c r="P20" s="42"/>
      <c r="Q20" s="42"/>
      <c r="R20" s="42"/>
      <c r="S20" s="42"/>
      <c r="T20" s="42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">
        <v>74403.990000000005</v>
      </c>
      <c r="F21" s="2">
        <v>60006.91</v>
      </c>
      <c r="G21" s="2">
        <v>0</v>
      </c>
      <c r="H21" s="2"/>
      <c r="I21" s="2"/>
      <c r="J21" s="2"/>
      <c r="K21" s="2"/>
      <c r="L21" s="2"/>
      <c r="M21" s="61"/>
      <c r="N21" s="43"/>
      <c r="O21" s="47"/>
      <c r="P21" s="47"/>
      <c r="Q21" s="42"/>
      <c r="R21" s="42"/>
      <c r="S21" s="42"/>
      <c r="T21" s="42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">
        <v>1519194.4000000001</v>
      </c>
      <c r="F22" s="2">
        <v>1930214.09</v>
      </c>
      <c r="G22" s="2">
        <v>2052810.33</v>
      </c>
      <c r="H22" s="2">
        <v>2532096.0499999998</v>
      </c>
      <c r="I22" s="2">
        <v>2320635.6400000006</v>
      </c>
      <c r="J22" s="2">
        <v>2528225.4</v>
      </c>
      <c r="K22" s="2">
        <v>2341333.9300000006</v>
      </c>
      <c r="L22" s="2">
        <v>1994916.11</v>
      </c>
      <c r="M22" s="61">
        <v>1852411.79</v>
      </c>
      <c r="N22" s="42">
        <v>1911020.5</v>
      </c>
      <c r="O22" s="42">
        <f>1974829.41+52619.96</f>
        <v>2027449.3699999999</v>
      </c>
      <c r="P22" s="42">
        <f>2131739.55+55823.62</f>
        <v>2187563.17</v>
      </c>
      <c r="Q22" s="49">
        <f>1690902.67+53351.13</f>
        <v>1744253.7999999998</v>
      </c>
      <c r="R22" s="49"/>
      <c r="S22" s="49"/>
      <c r="T22" s="49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">
        <v>551773.17999999993</v>
      </c>
      <c r="F23" s="2">
        <v>544286.97</v>
      </c>
      <c r="G23" s="2">
        <v>477067.60000000003</v>
      </c>
      <c r="H23" s="2">
        <v>475429.89999999997</v>
      </c>
      <c r="I23" s="2">
        <v>526036.78</v>
      </c>
      <c r="J23" s="2">
        <v>523957.19999999995</v>
      </c>
      <c r="K23" s="2">
        <v>477597.9200000001</v>
      </c>
      <c r="L23" s="2">
        <v>483196.86000000004</v>
      </c>
      <c r="M23" s="61">
        <v>214915.91</v>
      </c>
      <c r="N23" s="42">
        <v>89765.85000000002</v>
      </c>
      <c r="O23" s="42">
        <f>82082.33+2224.14</f>
        <v>84306.47</v>
      </c>
      <c r="P23" s="42">
        <f>87193.39+2419.25</f>
        <v>89612.64</v>
      </c>
      <c r="Q23" s="49">
        <f>41279.02+1929.72</f>
        <v>43208.74</v>
      </c>
      <c r="R23" s="49"/>
      <c r="S23" s="49"/>
      <c r="T23" s="49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>
        <v>37084.94</v>
      </c>
      <c r="L24" s="2">
        <v>2760.93</v>
      </c>
      <c r="M24" s="61">
        <v>29534.43</v>
      </c>
      <c r="N24" s="42">
        <v>54001.279999999999</v>
      </c>
      <c r="O24" s="42"/>
      <c r="P24" s="42"/>
      <c r="Q24" s="42"/>
      <c r="R24" s="42"/>
      <c r="S24" s="42"/>
      <c r="T24" s="4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61"/>
      <c r="N25" s="42"/>
      <c r="O25" s="42">
        <f>264.82+78.33</f>
        <v>343.15</v>
      </c>
      <c r="P25" s="42">
        <f>9235.31+871.16</f>
        <v>10106.469999999999</v>
      </c>
      <c r="Q25" s="42">
        <f>12.64</f>
        <v>12.64</v>
      </c>
      <c r="R25" s="42"/>
      <c r="S25" s="42"/>
      <c r="T25" s="42"/>
      <c r="U25" s="16"/>
      <c r="V25" s="45"/>
    </row>
    <row r="26" spans="1:22" x14ac:dyDescent="0.2">
      <c r="C26" s="1"/>
      <c r="D26" s="5" t="s">
        <v>229</v>
      </c>
      <c r="E26" s="6">
        <f t="shared" ref="E26:T26" si="5">SUM(E18:E25)</f>
        <v>5655027.2600000007</v>
      </c>
      <c r="F26" s="6">
        <f t="shared" si="5"/>
        <v>6018835.3499999996</v>
      </c>
      <c r="G26" s="6">
        <f t="shared" si="5"/>
        <v>6204829.8399999999</v>
      </c>
      <c r="H26" s="6">
        <f t="shared" si="5"/>
        <v>6472210.9399999995</v>
      </c>
      <c r="I26" s="6">
        <f t="shared" si="5"/>
        <v>5476900.6000000006</v>
      </c>
      <c r="J26" s="6">
        <f t="shared" si="5"/>
        <v>5851654.79</v>
      </c>
      <c r="K26" s="6">
        <f t="shared" si="5"/>
        <v>5811011.0900000008</v>
      </c>
      <c r="L26" s="6">
        <f t="shared" si="5"/>
        <v>5543819.6100000003</v>
      </c>
      <c r="M26" s="6">
        <f t="shared" si="5"/>
        <v>5786363.2599999998</v>
      </c>
      <c r="N26" s="6">
        <f t="shared" si="5"/>
        <v>6286724.7999999998</v>
      </c>
      <c r="O26" s="6">
        <f t="shared" si="5"/>
        <v>7109470.9399999995</v>
      </c>
      <c r="P26" s="6">
        <f t="shared" si="5"/>
        <v>6855116.3499999996</v>
      </c>
      <c r="Q26" s="6">
        <f t="shared" si="5"/>
        <v>6526686.4100000001</v>
      </c>
      <c r="R26" s="6">
        <f t="shared" si="5"/>
        <v>6615028.1000000006</v>
      </c>
      <c r="S26" s="6">
        <f t="shared" si="5"/>
        <v>6916540.6100000003</v>
      </c>
      <c r="T26" s="6">
        <f t="shared" si="5"/>
        <v>6883160.5700000003</v>
      </c>
      <c r="U26" s="17">
        <f t="shared" ref="U26" si="6">SUM(U18:U25)</f>
        <v>-33380.040000000037</v>
      </c>
      <c r="V26" s="45">
        <f t="shared" ref="V26:V27" si="7">U26/S26</f>
        <v>-4.8261178358063647E-3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">
        <v>2537.6900000000005</v>
      </c>
      <c r="F27" s="2">
        <v>2187.11</v>
      </c>
      <c r="G27" s="2">
        <v>-193.44</v>
      </c>
      <c r="H27" s="2">
        <v>-1283.4000000000001</v>
      </c>
      <c r="I27" s="2">
        <v>-778.65000000000009</v>
      </c>
      <c r="J27" s="2">
        <v>142.26999999999998</v>
      </c>
      <c r="K27" s="2">
        <v>-1774.74</v>
      </c>
      <c r="L27" s="2">
        <v>-448.65000000000003</v>
      </c>
      <c r="M27" s="61">
        <v>3822.23</v>
      </c>
      <c r="N27" s="42">
        <v>1273.4000000000001</v>
      </c>
      <c r="O27" s="42">
        <f>-2308.39+38.01</f>
        <v>-2270.3799999999997</v>
      </c>
      <c r="P27" s="42">
        <f>4844.75+2779.28</f>
        <v>7624.0300000000007</v>
      </c>
      <c r="Q27" s="49">
        <f>28582.9+1636.04</f>
        <v>30218.940000000002</v>
      </c>
      <c r="R27" s="39">
        <f>18550.92+(-4634.88)</f>
        <v>13916.039999999997</v>
      </c>
      <c r="S27" s="41">
        <f>5532.59+1337.61</f>
        <v>6870.2</v>
      </c>
      <c r="T27" s="41">
        <f>5882.85+981.18</f>
        <v>6864.0300000000007</v>
      </c>
      <c r="U27" s="16">
        <f t="shared" ref="U27" si="8">T27-S27</f>
        <v>-6.1699999999991633</v>
      </c>
      <c r="V27" s="45">
        <f t="shared" si="7"/>
        <v>-8.9808156967761683E-4</v>
      </c>
    </row>
    <row r="28" spans="1:22" x14ac:dyDescent="0.2">
      <c r="A28" s="3">
        <v>601100</v>
      </c>
      <c r="B28" s="3" t="s">
        <v>318</v>
      </c>
      <c r="C28" s="1">
        <v>611520</v>
      </c>
      <c r="D28" s="1" t="s">
        <v>175</v>
      </c>
      <c r="E28" s="2">
        <v>61772.67</v>
      </c>
      <c r="F28" s="2">
        <v>25355.010000000002</v>
      </c>
      <c r="G28" s="2"/>
      <c r="H28" s="2"/>
      <c r="I28" s="2"/>
      <c r="J28" s="2"/>
      <c r="K28" s="2"/>
      <c r="L28" s="2"/>
      <c r="M28" s="61"/>
      <c r="N28" s="43"/>
      <c r="O28" s="42"/>
      <c r="P28" s="42"/>
      <c r="Q28" s="42"/>
      <c r="R28" s="42"/>
      <c r="S28" s="42"/>
      <c r="T28" s="42">
        <f>1119.2+935.18</f>
        <v>2054.38</v>
      </c>
      <c r="U28" s="16">
        <f t="shared" ref="U28:U71" si="9">T28-S28</f>
        <v>2054.38</v>
      </c>
      <c r="V28" s="45" t="e">
        <f t="shared" ref="V28:V72" si="10">U28/S28</f>
        <v>#DIV/0!</v>
      </c>
    </row>
    <row r="29" spans="1:22" x14ac:dyDescent="0.2">
      <c r="A29" s="3">
        <v>601100</v>
      </c>
      <c r="B29" s="3" t="s">
        <v>318</v>
      </c>
      <c r="C29" s="57">
        <v>611540</v>
      </c>
      <c r="D29" s="57" t="s">
        <v>254</v>
      </c>
      <c r="E29" s="2"/>
      <c r="F29" s="2"/>
      <c r="G29" s="2"/>
      <c r="H29" s="2"/>
      <c r="I29" s="2"/>
      <c r="J29" s="2"/>
      <c r="K29" s="2"/>
      <c r="L29" s="2"/>
      <c r="M29" s="61">
        <v>19606.760000000002</v>
      </c>
      <c r="N29" s="42">
        <v>38174.04</v>
      </c>
      <c r="O29" s="42">
        <v>47483.07</v>
      </c>
      <c r="P29" s="42">
        <v>45666.6</v>
      </c>
      <c r="Q29" s="49">
        <v>81741.56</v>
      </c>
      <c r="R29" s="49"/>
      <c r="S29" s="49"/>
      <c r="T29" s="49"/>
      <c r="U29" s="16">
        <f t="shared" si="9"/>
        <v>0</v>
      </c>
      <c r="V29" s="45" t="e">
        <f t="shared" si="10"/>
        <v>#DIV/0!</v>
      </c>
    </row>
    <row r="30" spans="1:22" x14ac:dyDescent="0.2">
      <c r="A30" s="3">
        <v>601100</v>
      </c>
      <c r="B30" s="3" t="s">
        <v>318</v>
      </c>
      <c r="C30" s="1">
        <v>611550</v>
      </c>
      <c r="D30" s="1" t="s">
        <v>176</v>
      </c>
      <c r="E30" s="2"/>
      <c r="F30" s="2"/>
      <c r="G30" s="2"/>
      <c r="H30" s="2"/>
      <c r="I30" s="2"/>
      <c r="J30" s="2"/>
      <c r="K30" s="2">
        <v>48767.28</v>
      </c>
      <c r="L30" s="2">
        <v>23779.05</v>
      </c>
      <c r="M30" s="61"/>
      <c r="N30" s="43"/>
      <c r="O30" s="61"/>
      <c r="P30" s="61"/>
      <c r="Q30" s="61"/>
      <c r="R30" s="61"/>
      <c r="S30" s="61"/>
      <c r="T30" s="61"/>
      <c r="U30" s="16">
        <f t="shared" si="9"/>
        <v>0</v>
      </c>
      <c r="V30" s="45" t="e">
        <f t="shared" si="10"/>
        <v>#DIV/0!</v>
      </c>
    </row>
    <row r="31" spans="1:22" x14ac:dyDescent="0.2">
      <c r="A31" s="3">
        <v>601302</v>
      </c>
      <c r="B31" s="3" t="s">
        <v>320</v>
      </c>
      <c r="C31" s="1">
        <v>612110</v>
      </c>
      <c r="D31" s="1" t="s">
        <v>19</v>
      </c>
      <c r="E31" s="2">
        <v>2485329.6</v>
      </c>
      <c r="F31" s="2">
        <v>2362316.2599999998</v>
      </c>
      <c r="G31" s="2">
        <v>2412371.46</v>
      </c>
      <c r="H31" s="2">
        <v>2415602.98</v>
      </c>
      <c r="I31" s="2">
        <v>2099930.0100000002</v>
      </c>
      <c r="J31" s="2">
        <v>2415193.71</v>
      </c>
      <c r="K31" s="2">
        <v>2187463.69</v>
      </c>
      <c r="L31" s="2">
        <v>59585.26</v>
      </c>
      <c r="M31" s="61">
        <v>13491.09</v>
      </c>
      <c r="N31" s="42">
        <v>3042.01</v>
      </c>
      <c r="O31" s="42">
        <v>4755</v>
      </c>
      <c r="P31" s="42">
        <v>28983</v>
      </c>
      <c r="Q31" s="49">
        <v>32024.720000000001</v>
      </c>
      <c r="R31" s="39">
        <v>30001.670000000002</v>
      </c>
      <c r="S31" s="41">
        <v>6740.01</v>
      </c>
      <c r="T31" s="41">
        <f>14490</f>
        <v>14490</v>
      </c>
      <c r="U31" s="16">
        <f t="shared" si="9"/>
        <v>7749.99</v>
      </c>
      <c r="V31" s="45">
        <f t="shared" si="10"/>
        <v>1.1498484423613615</v>
      </c>
    </row>
    <row r="32" spans="1:22" x14ac:dyDescent="0.2">
      <c r="A32" s="3">
        <v>601300</v>
      </c>
      <c r="B32" s="3" t="s">
        <v>319</v>
      </c>
      <c r="C32" s="1">
        <v>612130</v>
      </c>
      <c r="D32" s="1" t="s">
        <v>20</v>
      </c>
      <c r="E32" s="2">
        <v>227975.75000000003</v>
      </c>
      <c r="F32" s="2">
        <v>341234.92000000004</v>
      </c>
      <c r="G32" s="2">
        <v>399821.73</v>
      </c>
      <c r="H32" s="2">
        <v>538177.77</v>
      </c>
      <c r="I32" s="2">
        <v>375278.43</v>
      </c>
      <c r="J32" s="2">
        <v>361352.59</v>
      </c>
      <c r="K32" s="2">
        <v>440827.99</v>
      </c>
      <c r="L32" s="2">
        <v>439649.59</v>
      </c>
      <c r="M32" s="61">
        <v>511376.91000000003</v>
      </c>
      <c r="N32" s="42">
        <v>405804.64</v>
      </c>
      <c r="O32" s="42">
        <f>382496.69+497.04</f>
        <v>382993.73</v>
      </c>
      <c r="P32" s="42">
        <f>358424.22+1492.08</f>
        <v>359916.3</v>
      </c>
      <c r="Q32" s="49">
        <f>528281.52+2433.11</f>
        <v>530714.63</v>
      </c>
      <c r="R32" s="39">
        <f>423739+2269.64</f>
        <v>426008.64</v>
      </c>
      <c r="S32" s="41">
        <f>430909.96+577.35</f>
        <v>431487.31</v>
      </c>
      <c r="T32" s="41">
        <f>479437.82</f>
        <v>479437.82</v>
      </c>
      <c r="U32" s="16">
        <f t="shared" si="9"/>
        <v>47950.510000000009</v>
      </c>
      <c r="V32" s="45">
        <f t="shared" si="10"/>
        <v>0.11112843619896959</v>
      </c>
    </row>
    <row r="33" spans="1:22" x14ac:dyDescent="0.2">
      <c r="A33" s="3">
        <v>601100</v>
      </c>
      <c r="B33" s="3" t="s">
        <v>318</v>
      </c>
      <c r="C33" s="1">
        <v>612205</v>
      </c>
      <c r="D33" s="1" t="s">
        <v>21</v>
      </c>
      <c r="E33" s="2">
        <v>14439.73</v>
      </c>
      <c r="F33" s="2">
        <v>17006.52</v>
      </c>
      <c r="G33" s="2">
        <v>32911.47</v>
      </c>
      <c r="H33" s="2">
        <v>30109.82</v>
      </c>
      <c r="I33" s="2">
        <v>39422.11</v>
      </c>
      <c r="J33" s="2">
        <v>49614.42</v>
      </c>
      <c r="K33" s="2">
        <v>35995.11</v>
      </c>
      <c r="L33" s="2">
        <v>51759.380000000005</v>
      </c>
      <c r="M33" s="61">
        <v>71517.12000000001</v>
      </c>
      <c r="N33" s="42">
        <v>70261.84</v>
      </c>
      <c r="O33" s="42">
        <f>71133.49+945.22</f>
        <v>72078.710000000006</v>
      </c>
      <c r="P33" s="42">
        <f>77278.44+878.96</f>
        <v>78157.400000000009</v>
      </c>
      <c r="Q33" s="49">
        <f>63592.01+924.63</f>
        <v>64516.639999999999</v>
      </c>
      <c r="R33" s="39">
        <f>36697.61+1002.8</f>
        <v>37700.410000000003</v>
      </c>
      <c r="S33" s="39">
        <f>3037.59</f>
        <v>3037.59</v>
      </c>
      <c r="T33" s="39"/>
      <c r="U33" s="16">
        <f t="shared" si="9"/>
        <v>-3037.59</v>
      </c>
      <c r="V33" s="45">
        <f t="shared" si="10"/>
        <v>-1</v>
      </c>
    </row>
    <row r="34" spans="1:22" x14ac:dyDescent="0.2">
      <c r="A34" s="3">
        <v>601307</v>
      </c>
      <c r="B34" s="3" t="s">
        <v>430</v>
      </c>
      <c r="C34" s="1">
        <v>612215</v>
      </c>
      <c r="D34" s="1" t="s">
        <v>177</v>
      </c>
      <c r="E34" s="2"/>
      <c r="F34" s="2"/>
      <c r="G34" s="2"/>
      <c r="H34" s="2"/>
      <c r="I34" s="2"/>
      <c r="J34" s="2"/>
      <c r="K34" s="2">
        <v>15000</v>
      </c>
      <c r="L34" s="2">
        <v>5000</v>
      </c>
      <c r="M34" s="61"/>
      <c r="N34" s="61"/>
      <c r="O34" s="61"/>
      <c r="P34" s="61"/>
      <c r="Q34" s="61"/>
      <c r="R34" s="61"/>
      <c r="S34" s="61"/>
      <c r="T34" s="61"/>
      <c r="U34" s="16">
        <f t="shared" si="9"/>
        <v>0</v>
      </c>
      <c r="V34" s="45" t="e">
        <f t="shared" si="10"/>
        <v>#DIV/0!</v>
      </c>
    </row>
    <row r="35" spans="1:22" x14ac:dyDescent="0.2">
      <c r="A35" s="3">
        <v>601306</v>
      </c>
      <c r="B35" s="3" t="s">
        <v>324</v>
      </c>
      <c r="C35" s="1">
        <v>612230</v>
      </c>
      <c r="D35" s="1" t="s">
        <v>23</v>
      </c>
      <c r="E35" s="2">
        <v>214342.93000000005</v>
      </c>
      <c r="F35" s="2">
        <v>210229.22</v>
      </c>
      <c r="G35" s="2">
        <v>282527.03000000003</v>
      </c>
      <c r="H35" s="2">
        <v>287232.81000000006</v>
      </c>
      <c r="I35" s="2">
        <v>305444.64</v>
      </c>
      <c r="J35" s="2">
        <v>290948.27</v>
      </c>
      <c r="K35" s="2">
        <v>205859.48</v>
      </c>
      <c r="L35" s="2">
        <v>266451.17</v>
      </c>
      <c r="M35" s="61">
        <v>262792.7</v>
      </c>
      <c r="N35" s="42">
        <v>303289.01</v>
      </c>
      <c r="O35" s="42">
        <f>298612.62+2319.46</f>
        <v>300932.08</v>
      </c>
      <c r="P35" s="42">
        <f>241387.49+1134.4</f>
        <v>242521.88999999998</v>
      </c>
      <c r="Q35" s="49">
        <f>244912.16+954.05</f>
        <v>245866.21</v>
      </c>
      <c r="R35" s="39">
        <f>227386.65+3239.41</f>
        <v>230626.06</v>
      </c>
      <c r="S35" s="41">
        <f>193598.16+4835.86</f>
        <v>198434.02</v>
      </c>
      <c r="T35" s="41">
        <f>166140.66+6654.3</f>
        <v>172794.96</v>
      </c>
      <c r="U35" s="16">
        <f t="shared" si="9"/>
        <v>-25639.059999999998</v>
      </c>
      <c r="V35" s="45">
        <f t="shared" si="10"/>
        <v>-0.12920697771480918</v>
      </c>
    </row>
    <row r="36" spans="1:22" x14ac:dyDescent="0.2">
      <c r="A36" s="3">
        <v>601303</v>
      </c>
      <c r="B36" s="3" t="s">
        <v>321</v>
      </c>
      <c r="C36" s="1">
        <v>612235</v>
      </c>
      <c r="D36" s="1" t="s">
        <v>24</v>
      </c>
      <c r="E36" s="2">
        <v>91467.42</v>
      </c>
      <c r="F36" s="2">
        <v>16069.18</v>
      </c>
      <c r="G36" s="2">
        <v>115360.18000000001</v>
      </c>
      <c r="H36" s="2">
        <v>148987.43</v>
      </c>
      <c r="I36" s="2">
        <v>138834.72</v>
      </c>
      <c r="J36" s="2">
        <v>27269.67</v>
      </c>
      <c r="K36" s="2">
        <v>120</v>
      </c>
      <c r="L36" s="2">
        <v>7317</v>
      </c>
      <c r="M36" s="61">
        <v>7288</v>
      </c>
      <c r="N36" s="43"/>
      <c r="O36" s="42">
        <v>15365</v>
      </c>
      <c r="Q36" s="49">
        <v>2120</v>
      </c>
      <c r="R36" s="49">
        <f>6785.19</f>
        <v>6785.19</v>
      </c>
      <c r="S36" s="49">
        <f>1402.89</f>
        <v>1402.89</v>
      </c>
      <c r="T36" s="49">
        <f>48276.46+2553.6</f>
        <v>50830.06</v>
      </c>
      <c r="U36" s="16">
        <f t="shared" si="9"/>
        <v>49427.17</v>
      </c>
      <c r="V36" s="45">
        <f t="shared" si="10"/>
        <v>35.232391705693246</v>
      </c>
    </row>
    <row r="37" spans="1:22" x14ac:dyDescent="0.2">
      <c r="A37" s="3">
        <v>601304</v>
      </c>
      <c r="B37" s="3" t="s">
        <v>322</v>
      </c>
      <c r="C37" s="1">
        <v>612300</v>
      </c>
      <c r="D37" s="1" t="s">
        <v>25</v>
      </c>
      <c r="E37" s="2">
        <v>47908.67</v>
      </c>
      <c r="F37" s="2">
        <v>70614</v>
      </c>
      <c r="G37" s="2">
        <v>82184.36</v>
      </c>
      <c r="H37" s="2">
        <v>100177.16</v>
      </c>
      <c r="I37" s="2">
        <v>103353.48999999999</v>
      </c>
      <c r="J37" s="2">
        <v>90669.6</v>
      </c>
      <c r="K37" s="2">
        <v>77502.899999999994</v>
      </c>
      <c r="L37" s="2">
        <v>74949.919999999998</v>
      </c>
      <c r="M37" s="61">
        <v>92119.69</v>
      </c>
      <c r="N37" s="42">
        <v>86084.99</v>
      </c>
      <c r="O37" s="42">
        <v>64849.950000000004</v>
      </c>
      <c r="P37" s="42">
        <v>50452.41</v>
      </c>
      <c r="Q37" s="49">
        <v>39824.520000000004</v>
      </c>
      <c r="R37" s="39">
        <v>51459.47</v>
      </c>
      <c r="S37" s="41">
        <v>57139.98</v>
      </c>
      <c r="T37" s="41">
        <f>30650</f>
        <v>30650</v>
      </c>
      <c r="U37" s="16">
        <f t="shared" si="9"/>
        <v>-26489.980000000003</v>
      </c>
      <c r="V37" s="45">
        <f t="shared" si="10"/>
        <v>-0.46359799215890524</v>
      </c>
    </row>
    <row r="38" spans="1:22" x14ac:dyDescent="0.2">
      <c r="A38" s="3">
        <v>601305</v>
      </c>
      <c r="B38" s="3" t="s">
        <v>323</v>
      </c>
      <c r="C38" s="1">
        <v>612305</v>
      </c>
      <c r="D38" s="1" t="s">
        <v>26</v>
      </c>
      <c r="E38" s="2"/>
      <c r="F38" s="2"/>
      <c r="G38" s="2"/>
      <c r="H38" s="2"/>
      <c r="I38" s="2">
        <v>19508.34</v>
      </c>
      <c r="J38" s="2">
        <v>63649.81</v>
      </c>
      <c r="K38" s="2">
        <v>34757.39</v>
      </c>
      <c r="L38" s="2">
        <v>37390.159999999996</v>
      </c>
      <c r="M38" s="61">
        <v>71471.64</v>
      </c>
      <c r="N38" s="42">
        <v>52897.95</v>
      </c>
      <c r="O38" s="42">
        <v>44953.83</v>
      </c>
      <c r="P38" s="42">
        <v>19615.36</v>
      </c>
      <c r="Q38" s="42"/>
      <c r="R38" s="42"/>
      <c r="S38" s="42"/>
      <c r="T38" s="42"/>
      <c r="U38" s="16">
        <f t="shared" si="9"/>
        <v>0</v>
      </c>
      <c r="V38" s="45" t="e">
        <f t="shared" si="10"/>
        <v>#DIV/0!</v>
      </c>
    </row>
    <row r="39" spans="1:22" x14ac:dyDescent="0.2">
      <c r="A39" s="3">
        <v>601400</v>
      </c>
      <c r="B39" s="3" t="s">
        <v>325</v>
      </c>
      <c r="C39" s="1">
        <v>612410</v>
      </c>
      <c r="D39" s="1" t="s">
        <v>27</v>
      </c>
      <c r="E39" s="2">
        <v>403512.42999999993</v>
      </c>
      <c r="F39" s="2">
        <v>391661.28</v>
      </c>
      <c r="G39" s="2">
        <v>415596.22</v>
      </c>
      <c r="H39" s="2">
        <v>587582.42000000004</v>
      </c>
      <c r="I39" s="2">
        <v>426208.84</v>
      </c>
      <c r="J39" s="2">
        <v>400245.05</v>
      </c>
      <c r="K39" s="2">
        <v>386281.66</v>
      </c>
      <c r="L39" s="2">
        <v>389957.15</v>
      </c>
      <c r="M39" s="61">
        <v>367819.38999999996</v>
      </c>
      <c r="N39" s="42">
        <v>336982.94000000006</v>
      </c>
      <c r="O39" s="42">
        <f>347280+7391.34</f>
        <v>354671.34</v>
      </c>
      <c r="P39" s="42">
        <f>352062.46+8151.24</f>
        <v>360213.7</v>
      </c>
      <c r="Q39" s="49">
        <f>383616.64+7011.71</f>
        <v>390628.35000000003</v>
      </c>
      <c r="R39" s="39">
        <f>408357.89+24734.06</f>
        <v>433091.95</v>
      </c>
      <c r="S39" s="41">
        <f>339847.71+22306.73</f>
        <v>362154.44</v>
      </c>
      <c r="T39" s="41">
        <f>108987.17+6227.52</f>
        <v>115214.69</v>
      </c>
      <c r="U39" s="16">
        <f t="shared" si="9"/>
        <v>-246939.75</v>
      </c>
      <c r="V39" s="45">
        <f t="shared" si="10"/>
        <v>-0.68186310238250836</v>
      </c>
    </row>
    <row r="40" spans="1:22" x14ac:dyDescent="0.2">
      <c r="A40" s="3">
        <v>601404</v>
      </c>
      <c r="B40" s="3" t="s">
        <v>327</v>
      </c>
      <c r="C40" s="1">
        <v>612510</v>
      </c>
      <c r="D40" s="1" t="s">
        <v>29</v>
      </c>
      <c r="E40" s="2">
        <v>50579.54</v>
      </c>
      <c r="F40" s="2">
        <v>38959.18</v>
      </c>
      <c r="G40" s="2">
        <v>41852.39</v>
      </c>
      <c r="H40" s="2">
        <v>52113.2</v>
      </c>
      <c r="I40" s="2">
        <v>54196.63</v>
      </c>
      <c r="J40" s="2">
        <v>52744.82</v>
      </c>
      <c r="K40" s="2">
        <v>44947.81</v>
      </c>
      <c r="L40" s="2">
        <v>40032.85</v>
      </c>
      <c r="M40" s="61">
        <v>23184.68</v>
      </c>
      <c r="N40" s="42">
        <v>36295.550000000003</v>
      </c>
      <c r="O40" s="42">
        <v>26780.78</v>
      </c>
      <c r="P40" s="42">
        <f>27018.2375+37.65</f>
        <v>27055.887500000001</v>
      </c>
      <c r="Q40" s="42">
        <f>33721.51+129.06-0.01</f>
        <v>33850.559999999998</v>
      </c>
      <c r="R40" s="42">
        <f>36283.48+360.72</f>
        <v>36644.200000000004</v>
      </c>
      <c r="S40" s="42">
        <f>40445.05+1082.91</f>
        <v>41527.960000000006</v>
      </c>
      <c r="T40" s="42">
        <f>17803.12+751.94</f>
        <v>18555.059999999998</v>
      </c>
      <c r="U40" s="16">
        <f t="shared" si="9"/>
        <v>-22972.900000000009</v>
      </c>
      <c r="V40" s="45">
        <f t="shared" si="10"/>
        <v>-0.55319115121474793</v>
      </c>
    </row>
    <row r="41" spans="1:22" x14ac:dyDescent="0.2">
      <c r="A41" s="3">
        <v>601405</v>
      </c>
      <c r="B41" s="3" t="s">
        <v>328</v>
      </c>
      <c r="C41" s="1">
        <v>612520</v>
      </c>
      <c r="D41" s="1" t="s">
        <v>30</v>
      </c>
      <c r="E41" s="2">
        <v>17070.939999999999</v>
      </c>
      <c r="F41" s="2">
        <v>12986.5</v>
      </c>
      <c r="G41" s="2">
        <v>13951.71</v>
      </c>
      <c r="H41" s="2">
        <v>17371.84</v>
      </c>
      <c r="I41" s="2">
        <v>18066.36</v>
      </c>
      <c r="J41" s="2">
        <v>17590.650000000001</v>
      </c>
      <c r="K41" s="2">
        <v>14983.42</v>
      </c>
      <c r="L41" s="2">
        <v>13345.2</v>
      </c>
      <c r="M41" s="61">
        <v>7728.22</v>
      </c>
      <c r="N41" s="42">
        <v>12099.37</v>
      </c>
      <c r="O41" s="42">
        <v>8927.24</v>
      </c>
      <c r="P41" s="42">
        <f>9006.3225+12.55</f>
        <v>9018.8724999999995</v>
      </c>
      <c r="Q41" s="42">
        <f>11240.68+43.02-0.01</f>
        <v>11283.69</v>
      </c>
      <c r="R41" s="42">
        <f>12094.92+120.25</f>
        <v>12215.17</v>
      </c>
      <c r="S41" s="42">
        <f>13482.12+360.98</f>
        <v>13843.1</v>
      </c>
      <c r="T41" s="42"/>
      <c r="U41" s="16">
        <f t="shared" si="9"/>
        <v>-13843.1</v>
      </c>
      <c r="V41" s="45">
        <f t="shared" si="10"/>
        <v>-1</v>
      </c>
    </row>
    <row r="42" spans="1:22" x14ac:dyDescent="0.2">
      <c r="A42" s="3">
        <v>601406</v>
      </c>
      <c r="B42" s="3" t="s">
        <v>329</v>
      </c>
      <c r="C42" s="1">
        <v>612550</v>
      </c>
      <c r="D42" s="58" t="s">
        <v>310</v>
      </c>
      <c r="E42" s="2"/>
      <c r="F42" s="2"/>
      <c r="G42" s="2"/>
      <c r="H42" s="2"/>
      <c r="I42" s="2"/>
      <c r="J42" s="2"/>
      <c r="K42" s="2"/>
      <c r="L42" s="2"/>
      <c r="M42" s="61"/>
      <c r="N42" s="42"/>
      <c r="O42" s="42"/>
      <c r="P42" s="42">
        <v>16518.87</v>
      </c>
      <c r="Q42" s="49">
        <v>10397.950000000001</v>
      </c>
      <c r="R42" s="49">
        <v>80.8</v>
      </c>
      <c r="S42" s="49"/>
      <c r="T42" s="49"/>
      <c r="U42" s="16">
        <f t="shared" si="9"/>
        <v>0</v>
      </c>
      <c r="V42" s="45" t="e">
        <f t="shared" si="10"/>
        <v>#DIV/0!</v>
      </c>
    </row>
    <row r="43" spans="1:22" x14ac:dyDescent="0.2">
      <c r="A43" s="3">
        <v>601402</v>
      </c>
      <c r="B43" s="3" t="s">
        <v>326</v>
      </c>
      <c r="C43" s="1">
        <v>612600</v>
      </c>
      <c r="D43" s="1" t="s">
        <v>31</v>
      </c>
      <c r="E43" s="2">
        <v>40689.93</v>
      </c>
      <c r="F43" s="2">
        <v>23912.03</v>
      </c>
      <c r="G43" s="2">
        <v>29536.33</v>
      </c>
      <c r="H43" s="2">
        <v>45803.99</v>
      </c>
      <c r="I43" s="2">
        <v>23281.119999999999</v>
      </c>
      <c r="J43" s="2"/>
      <c r="K43" s="2">
        <v>104.25</v>
      </c>
      <c r="L43" s="2">
        <v>23601</v>
      </c>
      <c r="M43" s="61">
        <v>23481</v>
      </c>
      <c r="N43" s="42">
        <v>25033.5</v>
      </c>
      <c r="O43" s="42">
        <v>25315.260000000002</v>
      </c>
      <c r="P43" s="42">
        <v>25539.84</v>
      </c>
      <c r="Q43" s="49">
        <v>23901.77</v>
      </c>
      <c r="R43" s="39">
        <v>14976.81</v>
      </c>
      <c r="S43" s="39"/>
      <c r="T43" s="39"/>
      <c r="U43" s="16">
        <f t="shared" si="9"/>
        <v>0</v>
      </c>
      <c r="V43" s="45" t="e">
        <f t="shared" si="10"/>
        <v>#DIV/0!</v>
      </c>
    </row>
    <row r="44" spans="1:22" x14ac:dyDescent="0.2">
      <c r="A44" s="3">
        <v>601501</v>
      </c>
      <c r="B44" s="3" t="s">
        <v>32</v>
      </c>
      <c r="C44" s="1">
        <v>613100</v>
      </c>
      <c r="D44" s="1" t="s">
        <v>32</v>
      </c>
      <c r="E44" s="2">
        <v>3499.16</v>
      </c>
      <c r="F44" s="2">
        <v>3864.2200000000003</v>
      </c>
      <c r="G44" s="2">
        <v>5173.93</v>
      </c>
      <c r="H44" s="2">
        <v>3254.2200000000003</v>
      </c>
      <c r="I44" s="2">
        <v>17507.36</v>
      </c>
      <c r="J44" s="2">
        <v>11794.62</v>
      </c>
      <c r="K44" s="2">
        <v>2161.6600000000003</v>
      </c>
      <c r="L44" s="2">
        <v>421.32</v>
      </c>
      <c r="M44" s="61">
        <v>1887.96</v>
      </c>
      <c r="N44" s="42">
        <v>1761.47</v>
      </c>
      <c r="O44" s="42">
        <f>134.1+35223.44</f>
        <v>35357.54</v>
      </c>
      <c r="P44" s="42">
        <f>623.32+34638.87</f>
        <v>35262.19</v>
      </c>
      <c r="Q44" s="49">
        <f>1116.89+30259.86</f>
        <v>31376.75</v>
      </c>
      <c r="R44" s="39">
        <f>515.48+71334.4</f>
        <v>71849.87999999999</v>
      </c>
      <c r="S44" s="41">
        <f>2311.55+38075.86</f>
        <v>40387.410000000003</v>
      </c>
      <c r="T44" s="41">
        <f>1748.14+32997.26</f>
        <v>34745.4</v>
      </c>
      <c r="U44" s="16">
        <f t="shared" si="9"/>
        <v>-5642.010000000002</v>
      </c>
      <c r="V44" s="45">
        <f t="shared" si="10"/>
        <v>-0.13969724723620558</v>
      </c>
    </row>
    <row r="45" spans="1:22" x14ac:dyDescent="0.2">
      <c r="A45" s="3">
        <v>601503</v>
      </c>
      <c r="B45" s="3" t="s">
        <v>33</v>
      </c>
      <c r="C45" s="1">
        <v>613210</v>
      </c>
      <c r="D45" s="1" t="s">
        <v>33</v>
      </c>
      <c r="E45" s="2">
        <v>10.77</v>
      </c>
      <c r="F45" s="2">
        <v>387.06000000000006</v>
      </c>
      <c r="G45" s="2">
        <v>1104.0000000000002</v>
      </c>
      <c r="H45" s="2">
        <v>865.16000000000008</v>
      </c>
      <c r="I45" s="2">
        <v>889.84</v>
      </c>
      <c r="J45" s="2">
        <v>1174.81</v>
      </c>
      <c r="K45" s="2">
        <v>995.77</v>
      </c>
      <c r="L45" s="2">
        <v>813.52</v>
      </c>
      <c r="M45" s="61">
        <v>756.04</v>
      </c>
      <c r="N45" s="42">
        <v>767.09</v>
      </c>
      <c r="O45" s="42">
        <f>795.21+3089.94</f>
        <v>3885.15</v>
      </c>
      <c r="P45" s="42">
        <f>839.02+2894.4</f>
        <v>3733.42</v>
      </c>
      <c r="Q45" s="49">
        <f>558+2729.48</f>
        <v>3287.48</v>
      </c>
      <c r="R45" s="39">
        <f>963.64+8699.22</f>
        <v>9662.8599999999988</v>
      </c>
      <c r="S45" s="41">
        <f>972.15+8241.53</f>
        <v>9213.68</v>
      </c>
      <c r="T45" s="41">
        <f>1323.55+7636.12</f>
        <v>8959.67</v>
      </c>
      <c r="U45" s="16">
        <f t="shared" si="9"/>
        <v>-254.01000000000022</v>
      </c>
      <c r="V45" s="45">
        <f t="shared" si="10"/>
        <v>-2.7568789018068807E-2</v>
      </c>
    </row>
    <row r="46" spans="1:22" x14ac:dyDescent="0.2">
      <c r="A46" s="3">
        <v>601504</v>
      </c>
      <c r="B46" s="3" t="s">
        <v>332</v>
      </c>
      <c r="C46" s="57">
        <v>613215</v>
      </c>
      <c r="D46" s="57" t="s">
        <v>275</v>
      </c>
      <c r="E46" s="2"/>
      <c r="F46" s="2"/>
      <c r="G46" s="2"/>
      <c r="H46" s="2"/>
      <c r="I46" s="2"/>
      <c r="J46" s="2"/>
      <c r="K46" s="2"/>
      <c r="L46" s="2"/>
      <c r="M46" s="61"/>
      <c r="N46" s="42"/>
      <c r="O46" s="42">
        <f>179.92</f>
        <v>179.92</v>
      </c>
      <c r="P46" s="42">
        <f>272.48</f>
        <v>272.48</v>
      </c>
      <c r="Q46" s="3">
        <f>264.62</f>
        <v>264.62</v>
      </c>
      <c r="R46" s="3">
        <f>368.36</f>
        <v>368.36</v>
      </c>
      <c r="S46" s="3">
        <f>229.57</f>
        <v>229.57</v>
      </c>
      <c r="T46" s="3">
        <v>139.16999999999999</v>
      </c>
      <c r="U46" s="16">
        <f t="shared" si="9"/>
        <v>-90.4</v>
      </c>
      <c r="V46" s="45">
        <f t="shared" si="10"/>
        <v>-0.39377967504464872</v>
      </c>
    </row>
    <row r="47" spans="1:22" x14ac:dyDescent="0.2">
      <c r="A47" s="3">
        <v>601502</v>
      </c>
      <c r="B47" s="3" t="s">
        <v>331</v>
      </c>
      <c r="C47" s="1">
        <v>613220</v>
      </c>
      <c r="D47" s="1" t="s">
        <v>34</v>
      </c>
      <c r="E47" s="2">
        <v>2076.4299999999998</v>
      </c>
      <c r="F47" s="2">
        <v>2331.21</v>
      </c>
      <c r="G47" s="2">
        <v>3744.9700000000003</v>
      </c>
      <c r="H47" s="2">
        <v>3776.87</v>
      </c>
      <c r="I47" s="2">
        <v>2990.52</v>
      </c>
      <c r="J47" s="2">
        <v>3201.7200000000003</v>
      </c>
      <c r="K47" s="2">
        <v>2975.52</v>
      </c>
      <c r="L47" s="2">
        <v>2342.6</v>
      </c>
      <c r="M47" s="61">
        <v>3517.44</v>
      </c>
      <c r="N47" s="42">
        <v>2841.6</v>
      </c>
      <c r="O47" s="42">
        <f>2552.8+1210.56</f>
        <v>3763.36</v>
      </c>
      <c r="P47" s="42">
        <f>3167.44+1160.83</f>
        <v>4328.2700000000004</v>
      </c>
      <c r="Q47" s="49">
        <f>2953.64+1110.76</f>
        <v>4064.3999999999996</v>
      </c>
      <c r="R47" s="39">
        <f>2075.4+4093.36</f>
        <v>6168.76</v>
      </c>
      <c r="S47" s="41">
        <f>2480.4+4274.23</f>
        <v>6754.6299999999992</v>
      </c>
      <c r="T47" s="41">
        <f>2451.6+4066.43</f>
        <v>6518.03</v>
      </c>
      <c r="U47" s="16">
        <f t="shared" si="9"/>
        <v>-236.59999999999945</v>
      </c>
      <c r="V47" s="45">
        <f t="shared" si="10"/>
        <v>-3.5027825358309707E-2</v>
      </c>
    </row>
    <row r="48" spans="1:22" x14ac:dyDescent="0.2">
      <c r="A48" s="3">
        <v>601509</v>
      </c>
      <c r="B48" s="3" t="s">
        <v>35</v>
      </c>
      <c r="C48" s="1">
        <v>613235</v>
      </c>
      <c r="D48" s="1" t="s">
        <v>35</v>
      </c>
      <c r="E48" s="2">
        <v>12520.880000000001</v>
      </c>
      <c r="F48" s="2">
        <v>11779</v>
      </c>
      <c r="G48" s="2">
        <v>3692.08</v>
      </c>
      <c r="H48" s="2">
        <v>5000</v>
      </c>
      <c r="I48" s="2">
        <v>519.66999999999996</v>
      </c>
      <c r="J48" s="2"/>
      <c r="K48" s="2">
        <v>6594.8</v>
      </c>
      <c r="L48" s="2">
        <v>10017.9</v>
      </c>
      <c r="M48" s="61">
        <v>18789.810000000001</v>
      </c>
      <c r="N48" s="42">
        <v>19857.27</v>
      </c>
      <c r="O48" s="42">
        <v>16486.050000000003</v>
      </c>
      <c r="P48" s="42">
        <v>12656.88</v>
      </c>
      <c r="Q48" s="49">
        <v>6000</v>
      </c>
      <c r="R48" s="39">
        <v>3000</v>
      </c>
      <c r="S48" s="41">
        <f>33049.91+86.12</f>
        <v>33136.030000000006</v>
      </c>
      <c r="T48" s="41">
        <f>23990.41+790.19</f>
        <v>24780.6</v>
      </c>
      <c r="U48" s="16">
        <f t="shared" si="9"/>
        <v>-8355.4300000000076</v>
      </c>
      <c r="V48" s="45">
        <f t="shared" si="10"/>
        <v>-0.25215543322480111</v>
      </c>
    </row>
    <row r="49" spans="1:22" x14ac:dyDescent="0.2">
      <c r="A49" s="3">
        <v>601513</v>
      </c>
      <c r="B49" s="3" t="s">
        <v>432</v>
      </c>
      <c r="C49" s="1">
        <v>613400</v>
      </c>
      <c r="D49" s="1" t="s">
        <v>36</v>
      </c>
      <c r="E49" s="2">
        <v>178452.62</v>
      </c>
      <c r="F49" s="2">
        <v>148525.76999999999</v>
      </c>
      <c r="G49" s="2">
        <v>-55553.08</v>
      </c>
      <c r="H49" s="2">
        <v>-275138.94</v>
      </c>
      <c r="I49" s="2">
        <v>62218.510000000009</v>
      </c>
      <c r="J49" s="2">
        <v>73931.78</v>
      </c>
      <c r="K49" s="2">
        <v>31154.169999999995</v>
      </c>
      <c r="L49" s="2">
        <v>-22628.910000000003</v>
      </c>
      <c r="M49" s="61">
        <v>17789.43</v>
      </c>
      <c r="N49" s="42">
        <v>394776.39</v>
      </c>
      <c r="O49" s="42">
        <f>-93876.08+(-478.24)</f>
        <v>-94354.32</v>
      </c>
      <c r="P49" s="42">
        <f>137024.43+(-1537.61)</f>
        <v>135486.82</v>
      </c>
      <c r="Q49" s="49">
        <f>-56056.74+(-3506.67)</f>
        <v>-59563.409999999996</v>
      </c>
      <c r="R49" s="39">
        <f>-116830.89+9228.41</f>
        <v>-107602.48</v>
      </c>
      <c r="S49" s="41">
        <f>206815.99+(-3245.57)</f>
        <v>203570.41999999998</v>
      </c>
      <c r="T49" s="41">
        <f>(-19422.81)+7889.27</f>
        <v>-11533.54</v>
      </c>
      <c r="U49" s="16">
        <f t="shared" si="9"/>
        <v>-215103.96</v>
      </c>
      <c r="V49" s="45">
        <f t="shared" si="10"/>
        <v>-1.0566562666619248</v>
      </c>
    </row>
    <row r="50" spans="1:22" x14ac:dyDescent="0.2">
      <c r="A50" s="3">
        <v>601508</v>
      </c>
      <c r="B50" s="3" t="s">
        <v>307</v>
      </c>
      <c r="C50" s="1">
        <v>613410</v>
      </c>
      <c r="D50" s="1" t="s">
        <v>37</v>
      </c>
      <c r="E50" s="2"/>
      <c r="F50" s="2"/>
      <c r="G50" s="2"/>
      <c r="H50" s="2">
        <v>358821.5</v>
      </c>
      <c r="I50" s="2"/>
      <c r="J50" s="2"/>
      <c r="K50" s="2"/>
      <c r="L50" s="2"/>
      <c r="M50" s="61"/>
      <c r="N50" s="61"/>
      <c r="O50" s="61"/>
      <c r="P50" s="61"/>
      <c r="Q50" s="61"/>
      <c r="R50" s="61"/>
      <c r="S50" s="61"/>
      <c r="T50" s="61"/>
      <c r="U50" s="16">
        <f t="shared" si="9"/>
        <v>0</v>
      </c>
      <c r="V50" s="45" t="e">
        <f t="shared" si="10"/>
        <v>#DIV/0!</v>
      </c>
    </row>
    <row r="51" spans="1:22" x14ac:dyDescent="0.2">
      <c r="A51" s="3">
        <v>601500</v>
      </c>
      <c r="B51" s="3" t="s">
        <v>330</v>
      </c>
      <c r="C51" s="1">
        <v>621100</v>
      </c>
      <c r="D51" s="1" t="s">
        <v>38</v>
      </c>
      <c r="E51" s="2">
        <v>89481.56</v>
      </c>
      <c r="F51" s="2">
        <v>78973.040000000008</v>
      </c>
      <c r="G51" s="2">
        <v>92112.43</v>
      </c>
      <c r="H51" s="2">
        <v>82465.89</v>
      </c>
      <c r="I51" s="2">
        <v>37458.14</v>
      </c>
      <c r="J51" s="2">
        <v>52035.249999999993</v>
      </c>
      <c r="K51" s="2">
        <v>37682.449999999997</v>
      </c>
      <c r="L51" s="2">
        <v>59289.88</v>
      </c>
      <c r="M51" s="61">
        <v>63811.79</v>
      </c>
      <c r="N51" s="42">
        <v>84855.61</v>
      </c>
      <c r="O51" s="42">
        <f>77486.51+2473.83</f>
        <v>79960.34</v>
      </c>
      <c r="P51" s="42">
        <f>71295.28+2323.27</f>
        <v>73618.55</v>
      </c>
      <c r="Q51" s="49">
        <f>75141.05+2486.6</f>
        <v>77627.650000000009</v>
      </c>
      <c r="R51" s="39">
        <f>108001.59+6847.46</f>
        <v>114849.05</v>
      </c>
      <c r="S51" s="41">
        <f>110199.75+7268.24</f>
        <v>117467.99</v>
      </c>
      <c r="T51" s="41">
        <f>109379.08+6203.28</f>
        <v>115582.36</v>
      </c>
      <c r="U51" s="16">
        <f t="shared" si="9"/>
        <v>-1885.6300000000047</v>
      </c>
      <c r="V51" s="45">
        <f t="shared" si="10"/>
        <v>-1.6052287946699391E-2</v>
      </c>
    </row>
    <row r="52" spans="1:22" x14ac:dyDescent="0.2">
      <c r="A52" s="3">
        <v>601500</v>
      </c>
      <c r="B52" s="3" t="s">
        <v>330</v>
      </c>
      <c r="C52" s="1">
        <v>621110</v>
      </c>
      <c r="D52" s="1" t="s">
        <v>39</v>
      </c>
      <c r="E52" s="2"/>
      <c r="F52" s="2"/>
      <c r="G52" s="2">
        <v>842.88</v>
      </c>
      <c r="H52" s="2">
        <v>1200.54</v>
      </c>
      <c r="I52" s="2">
        <v>1185.2</v>
      </c>
      <c r="J52" s="2">
        <v>1348.05</v>
      </c>
      <c r="K52" s="2">
        <v>1160.92</v>
      </c>
      <c r="L52" s="2">
        <v>-328.87</v>
      </c>
      <c r="M52" s="61"/>
      <c r="N52" s="43"/>
      <c r="O52" s="61"/>
      <c r="P52" s="61"/>
      <c r="Q52" s="61"/>
      <c r="R52" s="61"/>
      <c r="S52" s="61"/>
      <c r="T52" s="61"/>
      <c r="U52" s="16">
        <f t="shared" si="9"/>
        <v>0</v>
      </c>
      <c r="V52" s="45" t="e">
        <f t="shared" si="10"/>
        <v>#DIV/0!</v>
      </c>
    </row>
    <row r="53" spans="1:22" x14ac:dyDescent="0.2">
      <c r="A53" s="3">
        <v>601500</v>
      </c>
      <c r="B53" s="3" t="s">
        <v>330</v>
      </c>
      <c r="C53" s="1">
        <v>621120</v>
      </c>
      <c r="D53" s="1" t="s">
        <v>40</v>
      </c>
      <c r="E53" s="2">
        <v>4065.7200000000003</v>
      </c>
      <c r="F53" s="2">
        <v>4186.38</v>
      </c>
      <c r="G53" s="2">
        <v>4286</v>
      </c>
      <c r="H53" s="2">
        <v>5259.8</v>
      </c>
      <c r="I53" s="2">
        <v>-874.96</v>
      </c>
      <c r="J53" s="2">
        <v>1118.93</v>
      </c>
      <c r="K53" s="2">
        <v>1316.6100000000001</v>
      </c>
      <c r="L53" s="2">
        <v>1491.9</v>
      </c>
      <c r="M53" s="61">
        <v>-372.98</v>
      </c>
      <c r="N53" s="43"/>
      <c r="O53" s="42">
        <v>-524.47</v>
      </c>
      <c r="P53" s="42"/>
      <c r="Q53" s="42"/>
      <c r="R53" s="42"/>
      <c r="S53" s="42"/>
      <c r="T53" s="42"/>
      <c r="U53" s="16">
        <f t="shared" si="9"/>
        <v>0</v>
      </c>
      <c r="V53" s="45" t="e">
        <f t="shared" si="10"/>
        <v>#DIV/0!</v>
      </c>
    </row>
    <row r="54" spans="1:22" x14ac:dyDescent="0.2">
      <c r="A54" s="3">
        <v>601500</v>
      </c>
      <c r="B54" s="3" t="s">
        <v>330</v>
      </c>
      <c r="C54" s="1">
        <v>621130</v>
      </c>
      <c r="D54" s="1" t="s">
        <v>41</v>
      </c>
      <c r="E54" s="2">
        <v>4493.4000000000005</v>
      </c>
      <c r="F54" s="2">
        <v>3623.29</v>
      </c>
      <c r="G54" s="2">
        <v>-587.75</v>
      </c>
      <c r="H54" s="2"/>
      <c r="I54" s="2"/>
      <c r="J54" s="2"/>
      <c r="K54" s="2"/>
      <c r="L54" s="2"/>
      <c r="M54" s="61"/>
      <c r="N54" s="43"/>
      <c r="O54" s="61"/>
      <c r="P54" s="61"/>
      <c r="Q54" s="61"/>
      <c r="R54" s="61"/>
      <c r="S54" s="61"/>
      <c r="T54" s="61"/>
      <c r="U54" s="16">
        <f t="shared" si="9"/>
        <v>0</v>
      </c>
      <c r="V54" s="45" t="e">
        <f t="shared" si="10"/>
        <v>#DIV/0!</v>
      </c>
    </row>
    <row r="55" spans="1:22" x14ac:dyDescent="0.2">
      <c r="A55" s="3">
        <v>601500</v>
      </c>
      <c r="B55" s="3" t="s">
        <v>330</v>
      </c>
      <c r="C55" s="1">
        <v>621140</v>
      </c>
      <c r="D55" s="1" t="s">
        <v>42</v>
      </c>
      <c r="E55" s="2">
        <v>14968.829999999998</v>
      </c>
      <c r="F55" s="2">
        <v>14701.910000000002</v>
      </c>
      <c r="G55" s="2">
        <v>19062.080000000002</v>
      </c>
      <c r="H55" s="2">
        <v>22830.74</v>
      </c>
      <c r="I55" s="2">
        <v>30002.880000000005</v>
      </c>
      <c r="J55" s="2">
        <v>34302.42</v>
      </c>
      <c r="K55" s="2">
        <v>37589.01</v>
      </c>
      <c r="L55" s="2">
        <v>23706.870000000006</v>
      </c>
      <c r="M55" s="61">
        <v>30055.940000000002</v>
      </c>
      <c r="N55" s="42">
        <v>20354.929999999997</v>
      </c>
      <c r="O55" s="42">
        <f>23378.79+2265.41</f>
        <v>25644.2</v>
      </c>
      <c r="P55" s="42">
        <f>38038.82+1669.93</f>
        <v>39708.75</v>
      </c>
      <c r="Q55" s="49">
        <f>29375.54+2021.99</f>
        <v>31397.530000000002</v>
      </c>
      <c r="R55" s="49"/>
      <c r="S55" s="49"/>
      <c r="T55" s="49"/>
      <c r="U55" s="16">
        <f t="shared" si="9"/>
        <v>0</v>
      </c>
      <c r="V55" s="45" t="e">
        <f t="shared" si="10"/>
        <v>#DIV/0!</v>
      </c>
    </row>
    <row r="56" spans="1:22" x14ac:dyDescent="0.2">
      <c r="A56" s="3">
        <v>601500</v>
      </c>
      <c r="B56" s="3" t="s">
        <v>330</v>
      </c>
      <c r="C56" s="1">
        <v>621150</v>
      </c>
      <c r="D56" s="1" t="s">
        <v>43</v>
      </c>
      <c r="E56" s="2">
        <v>17415.46</v>
      </c>
      <c r="F56" s="2">
        <v>19592.25</v>
      </c>
      <c r="G56" s="2">
        <v>18998.12</v>
      </c>
      <c r="H56" s="2">
        <v>17622.120000000003</v>
      </c>
      <c r="I56" s="2">
        <v>19969.39</v>
      </c>
      <c r="J56" s="2">
        <v>19095.8</v>
      </c>
      <c r="K56" s="2">
        <v>23845.670000000002</v>
      </c>
      <c r="L56" s="2">
        <v>20416.14</v>
      </c>
      <c r="M56" s="61">
        <v>5143.29</v>
      </c>
      <c r="N56" s="42">
        <v>-2985.26</v>
      </c>
      <c r="O56" s="42"/>
      <c r="P56" s="42">
        <f>366.3</f>
        <v>366.3</v>
      </c>
      <c r="Q56" s="49">
        <v>3562.9500000000003</v>
      </c>
      <c r="R56" s="49"/>
      <c r="S56" s="49"/>
      <c r="T56" s="49"/>
      <c r="U56" s="16">
        <f t="shared" si="9"/>
        <v>0</v>
      </c>
      <c r="V56" s="45" t="e">
        <f t="shared" si="10"/>
        <v>#DIV/0!</v>
      </c>
    </row>
    <row r="57" spans="1:22" x14ac:dyDescent="0.2">
      <c r="A57" s="3">
        <v>601505</v>
      </c>
      <c r="B57" s="3" t="s">
        <v>333</v>
      </c>
      <c r="C57" s="1">
        <v>622100</v>
      </c>
      <c r="D57" s="1" t="s">
        <v>44</v>
      </c>
      <c r="E57" s="2">
        <v>28466.28</v>
      </c>
      <c r="F57" s="2">
        <v>4385.3999999999996</v>
      </c>
      <c r="G57" s="2">
        <v>83312.59</v>
      </c>
      <c r="H57" s="2">
        <v>23881.86</v>
      </c>
      <c r="I57" s="2">
        <v>326.67</v>
      </c>
      <c r="J57" s="2"/>
      <c r="K57" s="2">
        <v>3809.32</v>
      </c>
      <c r="L57" s="2">
        <v>5193.5</v>
      </c>
      <c r="M57" s="61">
        <v>39865.4</v>
      </c>
      <c r="N57" s="42">
        <v>28265.78</v>
      </c>
      <c r="O57" s="42">
        <f>96378.5+4344.74</f>
        <v>100723.24</v>
      </c>
      <c r="P57" s="42">
        <f>56744.77+2077.23</f>
        <v>58822</v>
      </c>
      <c r="Q57" s="49">
        <f>792.36+1660.81</f>
        <v>2453.17</v>
      </c>
      <c r="R57" s="49"/>
      <c r="S57" s="49"/>
      <c r="T57" s="49"/>
      <c r="U57" s="16">
        <f t="shared" si="9"/>
        <v>0</v>
      </c>
      <c r="V57" s="45" t="e">
        <f t="shared" si="10"/>
        <v>#DIV/0!</v>
      </c>
    </row>
    <row r="58" spans="1:22" x14ac:dyDescent="0.2">
      <c r="A58" s="3">
        <v>601505</v>
      </c>
      <c r="B58" s="3" t="s">
        <v>333</v>
      </c>
      <c r="C58" s="1">
        <v>622120</v>
      </c>
      <c r="D58" s="1" t="s">
        <v>178</v>
      </c>
      <c r="E58" s="2"/>
      <c r="F58" s="2">
        <v>66.89</v>
      </c>
      <c r="G58" s="2"/>
      <c r="H58" s="2"/>
      <c r="I58" s="2"/>
      <c r="J58" s="2"/>
      <c r="K58" s="2"/>
      <c r="L58" s="2"/>
      <c r="M58" s="61">
        <v>41383.32</v>
      </c>
      <c r="N58" s="61"/>
      <c r="O58" s="61"/>
      <c r="P58" s="61"/>
      <c r="Q58" s="61"/>
      <c r="R58" s="61"/>
      <c r="S58" s="61"/>
      <c r="T58" s="61"/>
      <c r="U58" s="16">
        <f t="shared" si="9"/>
        <v>0</v>
      </c>
      <c r="V58" s="45" t="e">
        <f t="shared" si="10"/>
        <v>#DIV/0!</v>
      </c>
    </row>
    <row r="59" spans="1:22" x14ac:dyDescent="0.2">
      <c r="A59" s="3">
        <v>601505</v>
      </c>
      <c r="B59" s="3" t="s">
        <v>333</v>
      </c>
      <c r="C59" s="1">
        <v>622130</v>
      </c>
      <c r="D59" s="1" t="s">
        <v>179</v>
      </c>
      <c r="E59" s="2"/>
      <c r="F59" s="2"/>
      <c r="G59" s="2">
        <v>11118.89</v>
      </c>
      <c r="H59" s="2"/>
      <c r="I59" s="2"/>
      <c r="J59" s="2"/>
      <c r="K59" s="2"/>
      <c r="L59" s="2"/>
      <c r="M59" s="61"/>
      <c r="N59" s="61"/>
      <c r="O59" s="61"/>
      <c r="P59" s="61"/>
      <c r="Q59" s="61"/>
      <c r="R59" s="61"/>
      <c r="S59" s="61"/>
      <c r="T59" s="61"/>
      <c r="U59" s="16">
        <f t="shared" si="9"/>
        <v>0</v>
      </c>
      <c r="V59" s="45" t="e">
        <f t="shared" si="10"/>
        <v>#DIV/0!</v>
      </c>
    </row>
    <row r="60" spans="1:22" x14ac:dyDescent="0.2">
      <c r="A60" s="3">
        <v>601505</v>
      </c>
      <c r="B60" s="3" t="s">
        <v>333</v>
      </c>
      <c r="C60" s="1">
        <v>622140</v>
      </c>
      <c r="D60" s="1" t="s">
        <v>45</v>
      </c>
      <c r="E60" s="2"/>
      <c r="F60" s="2">
        <v>2332.61</v>
      </c>
      <c r="G60" s="2">
        <v>10188.030000000001</v>
      </c>
      <c r="H60" s="2"/>
      <c r="I60" s="2">
        <v>471.54</v>
      </c>
      <c r="J60" s="2">
        <v>3866.93</v>
      </c>
      <c r="K60" s="2">
        <v>18798.73</v>
      </c>
      <c r="L60" s="2">
        <v>44168.32</v>
      </c>
      <c r="M60" s="61">
        <v>38616.050000000003</v>
      </c>
      <c r="N60" s="42">
        <v>29593.78</v>
      </c>
      <c r="O60" s="42">
        <v>621.71</v>
      </c>
      <c r="P60" s="42">
        <v>2968.96</v>
      </c>
      <c r="Q60" s="49">
        <f>62755.53+4105.54</f>
        <v>66861.069999999992</v>
      </c>
      <c r="R60" s="39">
        <f>84468.21+6818.1</f>
        <v>91286.310000000012</v>
      </c>
      <c r="S60" s="41">
        <f>90699.86+15908.33</f>
        <v>106608.19</v>
      </c>
      <c r="T60" s="41">
        <f>120265.97+8468.9</f>
        <v>128734.87</v>
      </c>
      <c r="U60" s="16">
        <f t="shared" si="9"/>
        <v>22126.679999999993</v>
      </c>
      <c r="V60" s="45">
        <f t="shared" si="10"/>
        <v>0.20755140857376897</v>
      </c>
    </row>
    <row r="61" spans="1:22" x14ac:dyDescent="0.2">
      <c r="A61" s="3">
        <v>601505</v>
      </c>
      <c r="B61" s="3" t="s">
        <v>333</v>
      </c>
      <c r="C61" s="1">
        <v>622150</v>
      </c>
      <c r="D61" s="1" t="s">
        <v>180</v>
      </c>
      <c r="E61" s="2"/>
      <c r="F61" s="2"/>
      <c r="G61" s="2">
        <v>53380.91</v>
      </c>
      <c r="H61" s="2"/>
      <c r="I61" s="2"/>
      <c r="J61" s="2"/>
      <c r="K61" s="2"/>
      <c r="L61" s="2"/>
      <c r="M61" s="61">
        <v>15539</v>
      </c>
      <c r="N61" s="43"/>
      <c r="O61" s="42"/>
      <c r="P61" s="42"/>
      <c r="Q61" s="42"/>
      <c r="R61" s="42"/>
      <c r="S61" s="42"/>
      <c r="T61" s="42"/>
      <c r="U61" s="16">
        <f t="shared" si="9"/>
        <v>0</v>
      </c>
      <c r="V61" s="45" t="e">
        <f t="shared" si="10"/>
        <v>#DIV/0!</v>
      </c>
    </row>
    <row r="62" spans="1:22" x14ac:dyDescent="0.2">
      <c r="A62" s="3">
        <v>601506</v>
      </c>
      <c r="B62" s="3" t="s">
        <v>334</v>
      </c>
      <c r="C62" s="1">
        <v>623100</v>
      </c>
      <c r="D62" s="1" t="s">
        <v>46</v>
      </c>
      <c r="E62" s="2">
        <v>20514.88</v>
      </c>
      <c r="F62" s="2">
        <v>1587.31</v>
      </c>
      <c r="G62" s="2">
        <v>27479.22</v>
      </c>
      <c r="H62" s="2">
        <v>4850.2300000000005</v>
      </c>
      <c r="I62" s="2">
        <v>-44.15</v>
      </c>
      <c r="J62" s="2"/>
      <c r="K62" s="2">
        <v>4679.7</v>
      </c>
      <c r="L62" s="2">
        <v>3844.76</v>
      </c>
      <c r="M62" s="61">
        <v>29363.510000000002</v>
      </c>
      <c r="N62" s="42">
        <v>8305.4600000000009</v>
      </c>
      <c r="O62" s="42">
        <f>26670.69+1642.84</f>
        <v>28313.53</v>
      </c>
      <c r="P62" s="42">
        <f>9640.73+481.49</f>
        <v>10122.219999999999</v>
      </c>
      <c r="Q62" s="42">
        <f>558.84</f>
        <v>558.84</v>
      </c>
      <c r="R62" s="42"/>
      <c r="S62" s="42"/>
      <c r="T62" s="42"/>
      <c r="U62" s="16">
        <f t="shared" si="9"/>
        <v>0</v>
      </c>
      <c r="V62" s="45" t="e">
        <f t="shared" si="10"/>
        <v>#DIV/0!</v>
      </c>
    </row>
    <row r="63" spans="1:22" x14ac:dyDescent="0.2">
      <c r="A63" s="3">
        <v>601506</v>
      </c>
      <c r="B63" s="3" t="s">
        <v>334</v>
      </c>
      <c r="C63" s="1">
        <v>623110</v>
      </c>
      <c r="D63" s="1" t="s">
        <v>47</v>
      </c>
      <c r="E63" s="2">
        <v>4682.09</v>
      </c>
      <c r="F63" s="2"/>
      <c r="G63" s="2"/>
      <c r="H63" s="2"/>
      <c r="I63" s="2"/>
      <c r="J63" s="2"/>
      <c r="K63" s="2"/>
      <c r="L63" s="2"/>
      <c r="M63" s="61"/>
      <c r="N63" s="61"/>
      <c r="O63" s="61"/>
      <c r="P63" s="61"/>
      <c r="Q63" s="61"/>
      <c r="R63" s="61"/>
      <c r="S63" s="61"/>
      <c r="T63" s="61"/>
      <c r="U63" s="16">
        <f t="shared" si="9"/>
        <v>0</v>
      </c>
      <c r="V63" s="45" t="e">
        <f t="shared" si="10"/>
        <v>#DIV/0!</v>
      </c>
    </row>
    <row r="64" spans="1:22" x14ac:dyDescent="0.2">
      <c r="A64" s="3">
        <v>601506</v>
      </c>
      <c r="B64" s="3" t="s">
        <v>334</v>
      </c>
      <c r="C64" s="1">
        <v>623140</v>
      </c>
      <c r="D64" s="1" t="s">
        <v>49</v>
      </c>
      <c r="E64" s="2"/>
      <c r="F64" s="2"/>
      <c r="G64" s="2">
        <v>5236.72</v>
      </c>
      <c r="H64" s="2"/>
      <c r="I64" s="2"/>
      <c r="J64" s="2"/>
      <c r="K64" s="2"/>
      <c r="L64" s="2"/>
      <c r="M64" s="61"/>
      <c r="N64" s="61"/>
      <c r="O64" s="61"/>
      <c r="P64" s="61"/>
      <c r="Q64" s="61"/>
      <c r="R64" s="61"/>
      <c r="S64" s="61"/>
      <c r="T64" s="61"/>
      <c r="U64" s="16">
        <f t="shared" si="9"/>
        <v>0</v>
      </c>
      <c r="V64" s="45" t="e">
        <f t="shared" si="10"/>
        <v>#DIV/0!</v>
      </c>
    </row>
    <row r="65" spans="1:22" x14ac:dyDescent="0.2">
      <c r="A65" s="3">
        <v>601506</v>
      </c>
      <c r="B65" s="3" t="s">
        <v>334</v>
      </c>
      <c r="C65" s="1">
        <v>623150</v>
      </c>
      <c r="D65" s="1" t="s">
        <v>50</v>
      </c>
      <c r="E65" s="2"/>
      <c r="F65" s="2"/>
      <c r="G65" s="2"/>
      <c r="H65" s="2"/>
      <c r="I65" s="2"/>
      <c r="J65" s="2">
        <v>2926.39</v>
      </c>
      <c r="K65" s="2"/>
      <c r="L65" s="2">
        <v>19506.91</v>
      </c>
      <c r="M65" s="61">
        <v>2240.58</v>
      </c>
      <c r="N65" s="61"/>
      <c r="O65" s="61"/>
      <c r="P65" s="61">
        <v>342.95</v>
      </c>
      <c r="Q65" s="49">
        <f>228.63+1145.1</f>
        <v>1373.73</v>
      </c>
      <c r="R65" s="39">
        <f>1284.62+1815.55</f>
        <v>3100.17</v>
      </c>
      <c r="S65" s="41">
        <f>28555.68+5162.42</f>
        <v>33718.1</v>
      </c>
      <c r="T65" s="41">
        <f>88933.38+2319.13</f>
        <v>91252.510000000009</v>
      </c>
      <c r="U65" s="16">
        <f t="shared" si="9"/>
        <v>57534.410000000011</v>
      </c>
      <c r="V65" s="45">
        <f t="shared" si="10"/>
        <v>1.7063360628267907</v>
      </c>
    </row>
    <row r="66" spans="1:22" x14ac:dyDescent="0.2">
      <c r="A66" s="3">
        <v>601506</v>
      </c>
      <c r="B66" s="3" t="s">
        <v>334</v>
      </c>
      <c r="C66" s="1">
        <v>623160</v>
      </c>
      <c r="D66" s="1" t="s">
        <v>51</v>
      </c>
      <c r="E66" s="2"/>
      <c r="F66" s="2"/>
      <c r="G66" s="2">
        <v>15323.65</v>
      </c>
      <c r="H66" s="2"/>
      <c r="I66" s="2"/>
      <c r="J66" s="2"/>
      <c r="K66" s="2"/>
      <c r="L66" s="2"/>
      <c r="M66" s="61">
        <v>25553.82</v>
      </c>
      <c r="N66" s="61"/>
      <c r="O66" s="61"/>
      <c r="P66" s="61"/>
      <c r="Q66" s="61"/>
      <c r="R66" s="61"/>
      <c r="S66" s="61"/>
      <c r="T66" s="61"/>
      <c r="U66" s="16">
        <f t="shared" si="9"/>
        <v>0</v>
      </c>
      <c r="V66" s="45" t="e">
        <f t="shared" si="10"/>
        <v>#DIV/0!</v>
      </c>
    </row>
    <row r="67" spans="1:22" x14ac:dyDescent="0.2">
      <c r="A67" s="3">
        <v>601508</v>
      </c>
      <c r="B67" s="3" t="s">
        <v>307</v>
      </c>
      <c r="C67" s="1">
        <v>624100</v>
      </c>
      <c r="D67" s="1" t="s">
        <v>52</v>
      </c>
      <c r="E67" s="2">
        <v>12841.01</v>
      </c>
      <c r="F67" s="2">
        <v>15497.44</v>
      </c>
      <c r="G67" s="2">
        <v>20988.22</v>
      </c>
      <c r="H67" s="2">
        <v>21272.879999999997</v>
      </c>
      <c r="I67" s="2">
        <v>9830.41</v>
      </c>
      <c r="J67" s="2">
        <v>6027</v>
      </c>
      <c r="K67" s="2">
        <v>540</v>
      </c>
      <c r="L67" s="2">
        <v>270</v>
      </c>
      <c r="M67" s="61">
        <v>270</v>
      </c>
      <c r="N67" s="42">
        <v>270</v>
      </c>
      <c r="O67" s="61">
        <f>33.86</f>
        <v>33.86</v>
      </c>
      <c r="P67" s="61">
        <f>540+793.95</f>
        <v>1333.95</v>
      </c>
      <c r="Q67" s="49">
        <f>162+216.92</f>
        <v>378.91999999999996</v>
      </c>
      <c r="R67" s="39">
        <f>733.79+790.82</f>
        <v>1524.6100000000001</v>
      </c>
      <c r="S67" s="41">
        <f>216+736.58</f>
        <v>952.58</v>
      </c>
      <c r="T67" s="41">
        <f>54+449.46</f>
        <v>503.46</v>
      </c>
      <c r="U67" s="16">
        <f t="shared" si="9"/>
        <v>-449.12000000000006</v>
      </c>
      <c r="V67" s="45">
        <f t="shared" si="10"/>
        <v>-0.47147746121060702</v>
      </c>
    </row>
    <row r="68" spans="1:22" x14ac:dyDescent="0.2">
      <c r="A68" s="3">
        <v>601508</v>
      </c>
      <c r="B68" s="3" t="s">
        <v>307</v>
      </c>
      <c r="C68" s="1">
        <v>624120</v>
      </c>
      <c r="D68" s="1" t="s">
        <v>53</v>
      </c>
      <c r="E68" s="2"/>
      <c r="F68" s="2"/>
      <c r="G68" s="2">
        <v>832.61</v>
      </c>
      <c r="H68" s="2">
        <v>853.46</v>
      </c>
      <c r="I68" s="2"/>
      <c r="J68" s="2">
        <v>874.83</v>
      </c>
      <c r="K68" s="2"/>
      <c r="L68" s="2">
        <v>-0.01</v>
      </c>
      <c r="M68" s="61"/>
      <c r="N68" s="61"/>
      <c r="O68" s="61"/>
      <c r="P68" s="61"/>
      <c r="Q68" s="61"/>
      <c r="R68" s="61"/>
      <c r="S68" s="61"/>
      <c r="T68" s="61"/>
      <c r="U68" s="16">
        <f t="shared" si="9"/>
        <v>0</v>
      </c>
      <c r="V68" s="45" t="e">
        <f t="shared" si="10"/>
        <v>#DIV/0!</v>
      </c>
    </row>
    <row r="69" spans="1:22" x14ac:dyDescent="0.2">
      <c r="A69" s="3">
        <v>601508</v>
      </c>
      <c r="B69" s="3" t="s">
        <v>307</v>
      </c>
      <c r="C69" s="1">
        <v>624125</v>
      </c>
      <c r="D69" s="1" t="s">
        <v>54</v>
      </c>
      <c r="E69" s="2"/>
      <c r="F69" s="2"/>
      <c r="G69" s="2">
        <v>1129.4000000000001</v>
      </c>
      <c r="H69" s="2"/>
      <c r="I69" s="2"/>
      <c r="J69" s="2"/>
      <c r="K69" s="2"/>
      <c r="L69" s="2"/>
      <c r="M69" s="61"/>
      <c r="N69" s="61"/>
      <c r="O69" s="61"/>
      <c r="P69" s="61"/>
      <c r="Q69" s="61"/>
      <c r="R69" s="61"/>
      <c r="S69" s="61"/>
      <c r="T69" s="61"/>
      <c r="U69" s="16">
        <f t="shared" si="9"/>
        <v>0</v>
      </c>
      <c r="V69" s="45" t="e">
        <f t="shared" si="10"/>
        <v>#DIV/0!</v>
      </c>
    </row>
    <row r="70" spans="1:22" x14ac:dyDescent="0.2">
      <c r="A70" s="3">
        <v>601508</v>
      </c>
      <c r="B70" s="3" t="s">
        <v>307</v>
      </c>
      <c r="C70" s="1">
        <v>624140</v>
      </c>
      <c r="D70" s="1" t="s">
        <v>181</v>
      </c>
      <c r="E70" s="2"/>
      <c r="F70" s="2"/>
      <c r="G70" s="2">
        <v>832.61</v>
      </c>
      <c r="H70" s="2">
        <v>853.46</v>
      </c>
      <c r="I70" s="2"/>
      <c r="J70" s="2">
        <v>874.83</v>
      </c>
      <c r="K70" s="2"/>
      <c r="L70" s="2"/>
      <c r="M70" s="61"/>
      <c r="N70" s="61"/>
      <c r="O70" s="61"/>
      <c r="P70" s="61"/>
      <c r="Q70" s="61"/>
      <c r="R70" s="61"/>
      <c r="S70" s="61"/>
      <c r="T70" s="61"/>
      <c r="U70" s="16">
        <f t="shared" si="9"/>
        <v>0</v>
      </c>
      <c r="V70" s="45" t="e">
        <f t="shared" si="10"/>
        <v>#DIV/0!</v>
      </c>
    </row>
    <row r="71" spans="1:22" x14ac:dyDescent="0.2">
      <c r="C71" s="3" t="s">
        <v>234</v>
      </c>
      <c r="D71" s="3" t="s">
        <v>235</v>
      </c>
      <c r="E71" s="2"/>
      <c r="F71" s="2"/>
      <c r="G71" s="2"/>
      <c r="H71" s="2"/>
      <c r="I71" s="2"/>
      <c r="J71" s="2"/>
      <c r="K71" s="2"/>
      <c r="L71" s="2"/>
      <c r="M71" s="2">
        <v>-85910.02</v>
      </c>
      <c r="N71" s="2">
        <v>-112132.75</v>
      </c>
      <c r="O71" s="2">
        <v>-85146.8</v>
      </c>
      <c r="P71" s="2">
        <v>-12213</v>
      </c>
      <c r="Q71" s="2"/>
      <c r="R71" s="2"/>
      <c r="S71" s="2"/>
      <c r="T71" s="2"/>
      <c r="U71" s="16">
        <f t="shared" si="9"/>
        <v>0</v>
      </c>
      <c r="V71" s="45" t="e">
        <f t="shared" si="10"/>
        <v>#DIV/0!</v>
      </c>
    </row>
    <row r="72" spans="1:22" x14ac:dyDescent="0.2">
      <c r="C72" s="1"/>
      <c r="D72" s="5" t="s">
        <v>230</v>
      </c>
      <c r="E72" s="6">
        <f>SUM(E27:E71)</f>
        <v>4051116.3899999997</v>
      </c>
      <c r="F72" s="6">
        <f t="shared" ref="F72:T72" si="11">SUM(F27:F71)</f>
        <v>3824364.99</v>
      </c>
      <c r="G72" s="6">
        <f t="shared" si="11"/>
        <v>4148617.9500000007</v>
      </c>
      <c r="H72" s="6">
        <f t="shared" si="11"/>
        <v>4499545.8100000005</v>
      </c>
      <c r="I72" s="6">
        <f t="shared" si="11"/>
        <v>3785197.060000001</v>
      </c>
      <c r="J72" s="6">
        <f t="shared" si="11"/>
        <v>3981994.2199999997</v>
      </c>
      <c r="K72" s="6">
        <f t="shared" si="11"/>
        <v>3664140.5699999994</v>
      </c>
      <c r="L72" s="6">
        <f t="shared" si="11"/>
        <v>1600894.9100000001</v>
      </c>
      <c r="M72" s="6">
        <f t="shared" si="11"/>
        <v>1723999.8099999998</v>
      </c>
      <c r="N72" s="6">
        <f t="shared" si="11"/>
        <v>1847770.6100000006</v>
      </c>
      <c r="O72" s="6">
        <f t="shared" si="11"/>
        <v>1461778.92</v>
      </c>
      <c r="P72" s="6">
        <f t="shared" si="11"/>
        <v>1638094.9</v>
      </c>
      <c r="Q72" s="6">
        <f t="shared" si="11"/>
        <v>1666733.24</v>
      </c>
      <c r="R72" s="6">
        <f t="shared" si="11"/>
        <v>1487713.9300000002</v>
      </c>
      <c r="S72" s="6">
        <f t="shared" si="11"/>
        <v>1674676.0999999999</v>
      </c>
      <c r="T72" s="6">
        <f t="shared" si="11"/>
        <v>1290573.53</v>
      </c>
      <c r="U72" s="17">
        <f>SUM(U27:U71)</f>
        <v>-384102.57</v>
      </c>
      <c r="V72" s="45">
        <f t="shared" si="10"/>
        <v>-0.22935931909459986</v>
      </c>
    </row>
    <row r="73" spans="1:22" x14ac:dyDescent="0.2">
      <c r="A73" s="3">
        <v>602400</v>
      </c>
      <c r="B73" s="3" t="s">
        <v>499</v>
      </c>
      <c r="C73" s="1">
        <v>625100</v>
      </c>
      <c r="D73" s="1" t="s">
        <v>55</v>
      </c>
      <c r="E73" s="2">
        <v>-282095.06</v>
      </c>
      <c r="F73" s="2">
        <v>-282221.9800000001</v>
      </c>
      <c r="G73" s="2">
        <v>-344723.64</v>
      </c>
      <c r="H73" s="2">
        <v>-356126.89999999997</v>
      </c>
      <c r="I73" s="2">
        <v>-384979.58000000019</v>
      </c>
      <c r="J73" s="2">
        <v>-405316.29</v>
      </c>
      <c r="K73" s="2">
        <v>-384685.76</v>
      </c>
      <c r="L73" s="2">
        <v>-370579.39</v>
      </c>
      <c r="M73" s="61">
        <v>-386527.46</v>
      </c>
      <c r="N73" s="42">
        <v>-446462.92</v>
      </c>
      <c r="O73" s="48">
        <f>-305724.09+3084.26</f>
        <v>-302639.83</v>
      </c>
      <c r="P73" s="48">
        <f>-251400.38+2669.94</f>
        <v>-248730.44</v>
      </c>
      <c r="Q73" s="49">
        <f>-212533.44+2403.02</f>
        <v>-210130.42</v>
      </c>
      <c r="R73" s="39">
        <f>-229866.55+4156.73</f>
        <v>-225709.81999999998</v>
      </c>
      <c r="S73" s="41">
        <f>-254309.18+4874.29</f>
        <v>-249434.88999999998</v>
      </c>
      <c r="T73" s="41">
        <f>(-268304.39)+4029.21</f>
        <v>-264275.18</v>
      </c>
      <c r="U73" s="16">
        <f t="shared" ref="U73:U86" si="12">T73-S73</f>
        <v>-14840.290000000008</v>
      </c>
      <c r="V73" s="45">
        <f t="shared" ref="V73:V87" si="13">U73/S73</f>
        <v>5.9495646338810139E-2</v>
      </c>
    </row>
    <row r="74" spans="1:22" x14ac:dyDescent="0.2">
      <c r="A74" s="3">
        <v>602500</v>
      </c>
      <c r="B74" s="3" t="s">
        <v>336</v>
      </c>
      <c r="C74" s="1">
        <v>626100</v>
      </c>
      <c r="D74" s="1" t="s">
        <v>56</v>
      </c>
      <c r="E74" s="2">
        <v>3560.4</v>
      </c>
      <c r="F74" s="2">
        <v>-679.6</v>
      </c>
      <c r="G74" s="2">
        <v>4970.03</v>
      </c>
      <c r="H74" s="2">
        <v>-4354.33</v>
      </c>
      <c r="I74" s="2">
        <v>-2750.15</v>
      </c>
      <c r="J74" s="2">
        <v>752</v>
      </c>
      <c r="K74" s="2">
        <v>1884.56</v>
      </c>
      <c r="L74" s="2">
        <v>2374.75</v>
      </c>
      <c r="M74" s="61">
        <v>-235.93</v>
      </c>
      <c r="N74" s="42">
        <f>2399.79+323.32</f>
        <v>2723.11</v>
      </c>
      <c r="O74" s="48">
        <f>-5180.53+208.38+12.67</f>
        <v>-4959.4799999999996</v>
      </c>
      <c r="P74" s="48">
        <f>-597.74+(-7.04)+93.87+0.03</f>
        <v>-510.88</v>
      </c>
      <c r="Q74" s="49">
        <f>3168.24+842.93+7.3-0.01</f>
        <v>4018.4599999999996</v>
      </c>
      <c r="R74" s="39">
        <f>-1629.68+97.89+1056.54+0.01</f>
        <v>-475.24</v>
      </c>
      <c r="S74" s="41">
        <f>313.75+(-227.27)+1433.36+(-0.02)</f>
        <v>1519.82</v>
      </c>
      <c r="T74" s="41">
        <f>674.56+1066.78+310.09+(-0.01)</f>
        <v>2051.4199999999996</v>
      </c>
      <c r="U74" s="16">
        <f t="shared" si="12"/>
        <v>531.59999999999968</v>
      </c>
      <c r="V74" s="45">
        <f t="shared" si="13"/>
        <v>0.34977826321538058</v>
      </c>
    </row>
    <row r="75" spans="1:22" x14ac:dyDescent="0.2">
      <c r="A75" s="3">
        <v>602100</v>
      </c>
      <c r="B75" s="3" t="s">
        <v>57</v>
      </c>
      <c r="C75" s="1">
        <v>626110</v>
      </c>
      <c r="D75" s="1" t="s">
        <v>57</v>
      </c>
      <c r="E75" s="2">
        <v>3822.2300000000005</v>
      </c>
      <c r="F75" s="2">
        <v>3933.34</v>
      </c>
      <c r="G75" s="2">
        <v>4926.12</v>
      </c>
      <c r="H75" s="2">
        <v>4821.09</v>
      </c>
      <c r="I75" s="2">
        <v>5081.62</v>
      </c>
      <c r="J75" s="2">
        <v>5076.17</v>
      </c>
      <c r="K75" s="2">
        <v>5267.28</v>
      </c>
      <c r="L75" s="2">
        <v>4798.5600000000004</v>
      </c>
      <c r="M75" s="61">
        <v>4894.9799999999996</v>
      </c>
      <c r="N75" s="42">
        <v>5142.83</v>
      </c>
      <c r="O75" s="48">
        <f>5386.2+437.02</f>
        <v>5823.2199999999993</v>
      </c>
      <c r="P75" s="48">
        <f>6043.57+405.39</f>
        <v>6448.96</v>
      </c>
      <c r="Q75" s="49">
        <f>5752.9+380.26</f>
        <v>6133.16</v>
      </c>
      <c r="R75" s="39">
        <f>5121.01+627.31</f>
        <v>5748.32</v>
      </c>
      <c r="S75" s="41">
        <f>6213.77+902.22</f>
        <v>7115.9900000000007</v>
      </c>
      <c r="T75" s="41">
        <f>6141.33+877.28</f>
        <v>7018.61</v>
      </c>
      <c r="U75" s="16">
        <f t="shared" si="12"/>
        <v>-97.380000000001019</v>
      </c>
      <c r="V75" s="45">
        <f t="shared" si="13"/>
        <v>-1.3684673531019719E-2</v>
      </c>
    </row>
    <row r="76" spans="1:22" x14ac:dyDescent="0.2">
      <c r="A76" s="3">
        <v>602101</v>
      </c>
      <c r="B76" s="3" t="s">
        <v>58</v>
      </c>
      <c r="C76" s="1">
        <v>626120</v>
      </c>
      <c r="D76" s="1" t="s">
        <v>58</v>
      </c>
      <c r="E76" s="2">
        <v>801147.28999999992</v>
      </c>
      <c r="F76" s="2">
        <v>845056.05000000016</v>
      </c>
      <c r="G76" s="2">
        <v>901088.5</v>
      </c>
      <c r="H76" s="2">
        <v>939791.94999999984</v>
      </c>
      <c r="I76" s="2">
        <v>825431.45</v>
      </c>
      <c r="J76" s="2">
        <v>854555.57</v>
      </c>
      <c r="K76" s="2">
        <v>934596.85</v>
      </c>
      <c r="L76" s="2">
        <v>880300.49</v>
      </c>
      <c r="M76" s="61">
        <v>1016519.1599999999</v>
      </c>
      <c r="N76" s="42">
        <v>1167658.05</v>
      </c>
      <c r="O76" s="48">
        <f>1300254.6+115273.57</f>
        <v>1415528.1700000002</v>
      </c>
      <c r="P76" s="48">
        <f>1360971.4+113333.97</f>
        <v>1474305.3699999999</v>
      </c>
      <c r="Q76" s="49">
        <f>1274394.96+106061.31</f>
        <v>1380456.27</v>
      </c>
      <c r="R76" s="39">
        <f>1311301.06+169535.51</f>
        <v>1480836.57</v>
      </c>
      <c r="S76" s="41">
        <f>1419123.24+204560.12</f>
        <v>1623683.3599999999</v>
      </c>
      <c r="T76" s="41">
        <f>1339334.66+188077.75</f>
        <v>1527412.41</v>
      </c>
      <c r="U76" s="16">
        <f t="shared" si="12"/>
        <v>-96270.949999999953</v>
      </c>
      <c r="V76" s="45">
        <f t="shared" si="13"/>
        <v>-5.9291702047128178E-2</v>
      </c>
    </row>
    <row r="77" spans="1:22" x14ac:dyDescent="0.2">
      <c r="A77" s="3">
        <v>602200</v>
      </c>
      <c r="B77" s="3" t="s">
        <v>59</v>
      </c>
      <c r="C77" s="1">
        <v>626130</v>
      </c>
      <c r="D77" s="1" t="s">
        <v>59</v>
      </c>
      <c r="E77" s="2">
        <v>22933.519999999997</v>
      </c>
      <c r="F77" s="2">
        <v>9633.1699999999983</v>
      </c>
      <c r="G77" s="2">
        <v>8466.9100000000017</v>
      </c>
      <c r="H77" s="2">
        <v>12074.449999999999</v>
      </c>
      <c r="I77" s="2">
        <v>22658.78</v>
      </c>
      <c r="J77" s="2">
        <v>14728.71</v>
      </c>
      <c r="K77" s="2">
        <v>17656.02</v>
      </c>
      <c r="L77" s="2">
        <v>15667.03</v>
      </c>
      <c r="M77" s="61">
        <v>7973.8999999999987</v>
      </c>
      <c r="N77" s="42">
        <v>10247.669999999998</v>
      </c>
      <c r="O77" s="48">
        <f>8550.51+531.95</f>
        <v>9082.4600000000009</v>
      </c>
      <c r="P77" s="48">
        <f>5541.05+310.94</f>
        <v>5851.99</v>
      </c>
      <c r="Q77" s="49">
        <f>17973.11+1078.21</f>
        <v>19051.32</v>
      </c>
      <c r="R77" s="39">
        <f>13964.97+1565.86</f>
        <v>15530.83</v>
      </c>
      <c r="S77" s="41">
        <f>317.58+24.06</f>
        <v>341.64</v>
      </c>
      <c r="T77" s="41">
        <f>4110.81+423.64</f>
        <v>4534.4500000000007</v>
      </c>
      <c r="U77" s="16">
        <f t="shared" si="12"/>
        <v>4192.8100000000004</v>
      </c>
      <c r="V77" s="45">
        <f t="shared" si="13"/>
        <v>12.272596885610586</v>
      </c>
    </row>
    <row r="78" spans="1:22" x14ac:dyDescent="0.2">
      <c r="A78" s="3">
        <v>602300</v>
      </c>
      <c r="B78" s="3" t="s">
        <v>60</v>
      </c>
      <c r="C78" s="1">
        <v>626141</v>
      </c>
      <c r="D78" s="1" t="s">
        <v>60</v>
      </c>
      <c r="E78" s="2">
        <v>482990.40000000008</v>
      </c>
      <c r="F78" s="2">
        <v>520464.48000000004</v>
      </c>
      <c r="G78" s="2">
        <v>541490.99</v>
      </c>
      <c r="H78" s="2">
        <v>562102.54000000015</v>
      </c>
      <c r="I78" s="2">
        <v>476819.42</v>
      </c>
      <c r="J78" s="2">
        <v>499969.81</v>
      </c>
      <c r="K78" s="2">
        <v>485814.17</v>
      </c>
      <c r="L78" s="2">
        <v>354427.22</v>
      </c>
      <c r="M78" s="61">
        <v>402461.32</v>
      </c>
      <c r="N78" s="42">
        <v>419744.14</v>
      </c>
      <c r="O78" s="48">
        <f>445377.4+27233.98</f>
        <v>472611.38</v>
      </c>
      <c r="P78" s="48">
        <f>424926.69+25506.26</f>
        <v>450432.95</v>
      </c>
      <c r="Q78" s="49">
        <f>426830.21+25092.83</f>
        <v>451923.04000000004</v>
      </c>
      <c r="R78" s="39">
        <f>402107.47+43739.21</f>
        <v>445846.68</v>
      </c>
      <c r="S78" s="41">
        <f>409620.32+47200.82</f>
        <v>456821.14</v>
      </c>
      <c r="T78" s="41">
        <f>408330.74+44645.07</f>
        <v>452975.81</v>
      </c>
      <c r="U78" s="16">
        <f t="shared" si="12"/>
        <v>-3845.3300000000163</v>
      </c>
      <c r="V78" s="45">
        <f t="shared" si="13"/>
        <v>-8.4175833018586138E-3</v>
      </c>
    </row>
    <row r="79" spans="1:22" x14ac:dyDescent="0.2">
      <c r="A79" s="3">
        <v>602301</v>
      </c>
      <c r="B79" s="3" t="s">
        <v>61</v>
      </c>
      <c r="C79" s="1">
        <v>626142</v>
      </c>
      <c r="D79" s="1" t="s">
        <v>61</v>
      </c>
      <c r="E79" s="2">
        <v>127250.15999999999</v>
      </c>
      <c r="F79" s="2">
        <v>134389.18000000002</v>
      </c>
      <c r="G79" s="2">
        <v>140335.86000000004</v>
      </c>
      <c r="H79" s="2">
        <v>144033.42000000004</v>
      </c>
      <c r="I79" s="2">
        <v>122668.09</v>
      </c>
      <c r="J79" s="2">
        <v>128213.83</v>
      </c>
      <c r="K79" s="2">
        <v>125700.14</v>
      </c>
      <c r="L79" s="2">
        <v>93187.79</v>
      </c>
      <c r="M79" s="61">
        <v>100271.63000000002</v>
      </c>
      <c r="N79" s="42">
        <v>101798.48000000001</v>
      </c>
      <c r="O79" s="48">
        <f>107701.41+6421.07</f>
        <v>114122.48000000001</v>
      </c>
      <c r="P79" s="48">
        <f>103006.23+6004.99</f>
        <v>109011.22</v>
      </c>
      <c r="Q79" s="49">
        <f>102024.35+5908.1</f>
        <v>107932.45000000001</v>
      </c>
      <c r="R79" s="39">
        <f>96308.17+10324.93</f>
        <v>106633.1</v>
      </c>
      <c r="S79" s="41">
        <f>97289.76+11162.77</f>
        <v>108452.53</v>
      </c>
      <c r="T79" s="41">
        <f>99518.94+10472.56</f>
        <v>109991.5</v>
      </c>
      <c r="U79" s="16">
        <f t="shared" si="12"/>
        <v>1538.9700000000012</v>
      </c>
      <c r="V79" s="45">
        <f t="shared" si="13"/>
        <v>1.4190263703391716E-2</v>
      </c>
    </row>
    <row r="80" spans="1:22" x14ac:dyDescent="0.2">
      <c r="A80" s="3">
        <v>602001</v>
      </c>
      <c r="B80" s="3" t="s">
        <v>62</v>
      </c>
      <c r="C80" s="1">
        <v>626171</v>
      </c>
      <c r="D80" s="1" t="s">
        <v>62</v>
      </c>
      <c r="E80" s="2">
        <v>1350656.35</v>
      </c>
      <c r="F80" s="2">
        <v>1352755.23</v>
      </c>
      <c r="G80" s="2">
        <v>1371181.6800000004</v>
      </c>
      <c r="H80" s="2">
        <v>1326607.0899999996</v>
      </c>
      <c r="I80" s="2">
        <v>1126081.3799999999</v>
      </c>
      <c r="J80" s="2">
        <v>1166319.8400000001</v>
      </c>
      <c r="K80" s="2">
        <v>1248286.28</v>
      </c>
      <c r="L80" s="2">
        <v>1442456.94</v>
      </c>
      <c r="M80" s="61">
        <v>2142915.0500000003</v>
      </c>
      <c r="N80" s="42">
        <v>2315931.5300000003</v>
      </c>
      <c r="O80" s="48">
        <f>2681056.5+221058.15</f>
        <v>2902114.65</v>
      </c>
      <c r="P80" s="48">
        <f>2545987.01+209000.2</f>
        <v>2754987.21</v>
      </c>
      <c r="Q80" s="49">
        <f>2745329.79+209779.81</f>
        <v>2955109.6</v>
      </c>
      <c r="R80" s="39">
        <f>3142105.54+455077.57</f>
        <v>3597183.11</v>
      </c>
      <c r="S80" s="41">
        <f>2849785.16+482595.7</f>
        <v>3332380.8600000003</v>
      </c>
      <c r="T80" s="41">
        <f>3006950.38+467885.09</f>
        <v>3474835.4699999997</v>
      </c>
      <c r="U80" s="16">
        <f t="shared" si="12"/>
        <v>142454.6099999994</v>
      </c>
      <c r="V80" s="45">
        <f t="shared" si="13"/>
        <v>4.2748598069909508E-2</v>
      </c>
    </row>
    <row r="81" spans="1:22" x14ac:dyDescent="0.2">
      <c r="A81" s="3">
        <v>602000</v>
      </c>
      <c r="B81" s="3" t="s">
        <v>63</v>
      </c>
      <c r="C81" s="1">
        <v>626172</v>
      </c>
      <c r="D81" s="1" t="s">
        <v>63</v>
      </c>
      <c r="E81" s="2">
        <v>305220.04000000004</v>
      </c>
      <c r="F81" s="2">
        <v>423713.2900000001</v>
      </c>
      <c r="G81" s="2">
        <v>497951.73000000016</v>
      </c>
      <c r="H81" s="2">
        <v>511635.74999999994</v>
      </c>
      <c r="I81" s="2">
        <v>496336.49</v>
      </c>
      <c r="J81" s="2">
        <v>511269.39</v>
      </c>
      <c r="K81" s="2">
        <v>414846.38</v>
      </c>
      <c r="L81" s="2">
        <v>268943.8</v>
      </c>
      <c r="M81" s="61">
        <v>277541.84000000008</v>
      </c>
      <c r="N81" s="42">
        <v>274620.59000000003</v>
      </c>
      <c r="O81" s="48">
        <f>280328.44+6863.48</f>
        <v>287191.92</v>
      </c>
      <c r="P81" s="48">
        <f>302752.08+7466.47</f>
        <v>310218.55</v>
      </c>
      <c r="Q81" s="49">
        <f>316048.82+9405.39</f>
        <v>325454.21000000002</v>
      </c>
      <c r="R81" s="39">
        <f>252493.33+11576.67</f>
        <v>264070</v>
      </c>
      <c r="S81" s="41">
        <f>307594.14+10896.66</f>
        <v>318490.8</v>
      </c>
      <c r="T81" s="41">
        <f>336264.36+8994.84</f>
        <v>345259.2</v>
      </c>
      <c r="U81" s="16">
        <f t="shared" si="12"/>
        <v>26768.400000000023</v>
      </c>
      <c r="V81" s="45">
        <f t="shared" si="13"/>
        <v>8.404763968064391E-2</v>
      </c>
    </row>
    <row r="82" spans="1:22" x14ac:dyDescent="0.2">
      <c r="A82" s="3">
        <v>602002</v>
      </c>
      <c r="B82" s="3" t="s">
        <v>335</v>
      </c>
      <c r="C82" s="1">
        <v>626173</v>
      </c>
      <c r="D82" s="1" t="s">
        <v>64</v>
      </c>
      <c r="E82" s="2">
        <v>36592.14</v>
      </c>
      <c r="F82" s="2">
        <v>59201.08</v>
      </c>
      <c r="G82" s="2">
        <v>76404.11</v>
      </c>
      <c r="H82" s="2">
        <v>68069.530000000013</v>
      </c>
      <c r="I82" s="2">
        <v>46411.18</v>
      </c>
      <c r="J82" s="2">
        <v>57420.63</v>
      </c>
      <c r="K82" s="2">
        <v>44355.090000000004</v>
      </c>
      <c r="L82" s="2">
        <v>41921.000000000007</v>
      </c>
      <c r="M82" s="61">
        <v>5058.53</v>
      </c>
      <c r="N82" s="42"/>
      <c r="O82" s="48">
        <v>-1306.2600000000002</v>
      </c>
      <c r="P82" s="48"/>
      <c r="Q82" s="42"/>
      <c r="R82" s="42"/>
      <c r="S82" s="41"/>
      <c r="T82" s="41"/>
      <c r="U82" s="16">
        <f t="shared" si="12"/>
        <v>0</v>
      </c>
      <c r="V82" s="45" t="e">
        <f t="shared" si="13"/>
        <v>#DIV/0!</v>
      </c>
    </row>
    <row r="83" spans="1:22" x14ac:dyDescent="0.2">
      <c r="A83" s="3">
        <v>602501</v>
      </c>
      <c r="B83" s="3" t="s">
        <v>434</v>
      </c>
      <c r="C83" s="1">
        <v>626200</v>
      </c>
      <c r="D83" s="1" t="s">
        <v>65</v>
      </c>
      <c r="E83" s="2">
        <v>-49745.039999999994</v>
      </c>
      <c r="F83" s="2">
        <v>35562.459999999992</v>
      </c>
      <c r="G83" s="2">
        <v>-11315.06</v>
      </c>
      <c r="H83" s="2">
        <v>-97558.720000000001</v>
      </c>
      <c r="I83" s="2">
        <v>9028.9600000000009</v>
      </c>
      <c r="J83" s="2">
        <v>-3382.48</v>
      </c>
      <c r="K83" s="2">
        <v>49381.47</v>
      </c>
      <c r="L83" s="2">
        <v>108428.81</v>
      </c>
      <c r="M83" s="61">
        <v>14673.890000000001</v>
      </c>
      <c r="N83" s="42">
        <v>126193.68000000001</v>
      </c>
      <c r="O83" s="48">
        <f>-41444.02+(-513.59)</f>
        <v>-41957.609999999993</v>
      </c>
      <c r="P83" s="48">
        <f>52947.24+411.49</f>
        <v>53358.729999999996</v>
      </c>
      <c r="Q83" s="49">
        <f>74699.29+4307.12</f>
        <v>79006.409999999989</v>
      </c>
      <c r="R83" s="39">
        <f>-63983.64+3791.59</f>
        <v>-60192.05</v>
      </c>
      <c r="S83" s="41">
        <f>111586.06+4399.81</f>
        <v>115985.87</v>
      </c>
      <c r="T83" s="41">
        <f>(-18352.53)+7746.84</f>
        <v>-10605.689999999999</v>
      </c>
      <c r="U83" s="16">
        <f t="shared" si="12"/>
        <v>-126591.56</v>
      </c>
      <c r="V83" s="45">
        <f t="shared" si="13"/>
        <v>-1.0914395003460335</v>
      </c>
    </row>
    <row r="84" spans="1:22" x14ac:dyDescent="0.2">
      <c r="A84" s="3">
        <v>602502</v>
      </c>
      <c r="B84" s="3" t="s">
        <v>66</v>
      </c>
      <c r="C84" s="1">
        <v>626210</v>
      </c>
      <c r="D84" s="1" t="s">
        <v>66</v>
      </c>
      <c r="E84" s="2"/>
      <c r="F84" s="2"/>
      <c r="G84" s="2"/>
      <c r="H84" s="2">
        <v>108867.88</v>
      </c>
      <c r="I84" s="2"/>
      <c r="J84" s="2"/>
      <c r="K84" s="2"/>
      <c r="L84" s="2"/>
      <c r="M84" s="61">
        <v>28415.269999999997</v>
      </c>
      <c r="N84" s="43"/>
      <c r="O84" s="47"/>
      <c r="P84" s="47"/>
      <c r="Q84" s="47"/>
      <c r="R84" s="47"/>
      <c r="S84" s="41"/>
      <c r="T84" s="41"/>
      <c r="U84" s="16">
        <f t="shared" si="12"/>
        <v>0</v>
      </c>
      <c r="V84" s="45" t="e">
        <f t="shared" si="13"/>
        <v>#DIV/0!</v>
      </c>
    </row>
    <row r="85" spans="1:22" x14ac:dyDescent="0.2">
      <c r="A85" s="3">
        <v>602503</v>
      </c>
      <c r="B85" s="3" t="s">
        <v>67</v>
      </c>
      <c r="C85" s="1">
        <v>626300</v>
      </c>
      <c r="D85" s="1" t="s">
        <v>67</v>
      </c>
      <c r="E85" s="2">
        <v>1111.18</v>
      </c>
      <c r="F85" s="2">
        <v>312.10999999999996</v>
      </c>
      <c r="G85" s="2">
        <v>176.33</v>
      </c>
      <c r="H85" s="2">
        <v>-357.03000000000003</v>
      </c>
      <c r="I85" s="2">
        <v>-246.09</v>
      </c>
      <c r="J85" s="2">
        <v>132.12</v>
      </c>
      <c r="K85" s="2">
        <v>-787.22</v>
      </c>
      <c r="L85" s="2">
        <v>-100.23</v>
      </c>
      <c r="M85" s="61">
        <v>1760.62</v>
      </c>
      <c r="N85" s="42">
        <v>829.74</v>
      </c>
      <c r="O85" s="48">
        <f>-1166.99+115.25</f>
        <v>-1051.74</v>
      </c>
      <c r="P85" s="48">
        <f>2710.07+1817.1</f>
        <v>4527.17</v>
      </c>
      <c r="Q85" s="49">
        <f>21395.46+1626.56</f>
        <v>23022.02</v>
      </c>
      <c r="R85" s="39">
        <f>10754.44+(-2219.78)</f>
        <v>8534.66</v>
      </c>
      <c r="S85" s="41">
        <f>5067.14+572.1</f>
        <v>5639.2400000000007</v>
      </c>
      <c r="T85" s="41">
        <f>2989.67+1057.31</f>
        <v>4046.98</v>
      </c>
      <c r="U85" s="16">
        <f t="shared" si="12"/>
        <v>-1592.2600000000007</v>
      </c>
      <c r="V85" s="45">
        <f t="shared" si="13"/>
        <v>-0.28235365049191036</v>
      </c>
    </row>
    <row r="86" spans="1:22" x14ac:dyDescent="0.2">
      <c r="C86" s="3" t="s">
        <v>234</v>
      </c>
      <c r="D86" s="3" t="s">
        <v>235</v>
      </c>
      <c r="E86" s="2"/>
      <c r="F86" s="2"/>
      <c r="G86" s="2"/>
      <c r="H86" s="2"/>
      <c r="I86" s="2"/>
      <c r="J86" s="2"/>
      <c r="K86" s="2"/>
      <c r="L86" s="2"/>
      <c r="M86" s="2">
        <v>-3290.04</v>
      </c>
      <c r="N86" s="2">
        <v>-4228.2</v>
      </c>
      <c r="O86" s="2">
        <v>-3455.91</v>
      </c>
      <c r="P86" s="2">
        <v>-1015.8</v>
      </c>
      <c r="Q86" s="2"/>
      <c r="R86" s="2"/>
      <c r="S86" s="2"/>
      <c r="T86" s="2"/>
      <c r="U86" s="16">
        <f t="shared" si="12"/>
        <v>0</v>
      </c>
      <c r="V86" s="45" t="e">
        <f t="shared" si="13"/>
        <v>#DIV/0!</v>
      </c>
    </row>
    <row r="87" spans="1:22" x14ac:dyDescent="0.2">
      <c r="C87" s="1"/>
      <c r="D87" s="5" t="s">
        <v>231</v>
      </c>
      <c r="E87" s="6">
        <f>SUM(E73:E86)</f>
        <v>2803443.6100000003</v>
      </c>
      <c r="F87" s="6">
        <f t="shared" ref="F87:T87" si="14">SUM(F73:F86)</f>
        <v>3102118.81</v>
      </c>
      <c r="G87" s="6">
        <f t="shared" si="14"/>
        <v>3190953.5600000005</v>
      </c>
      <c r="H87" s="6">
        <f t="shared" si="14"/>
        <v>3219606.7199999993</v>
      </c>
      <c r="I87" s="6">
        <f t="shared" si="14"/>
        <v>2742541.5500000003</v>
      </c>
      <c r="J87" s="6">
        <f t="shared" si="14"/>
        <v>2829739.3000000003</v>
      </c>
      <c r="K87" s="6">
        <f t="shared" si="14"/>
        <v>2942315.26</v>
      </c>
      <c r="L87" s="6">
        <f t="shared" si="14"/>
        <v>2841826.7699999996</v>
      </c>
      <c r="M87" s="6">
        <f t="shared" si="14"/>
        <v>3612432.7600000002</v>
      </c>
      <c r="N87" s="6">
        <f t="shared" si="14"/>
        <v>3974198.7000000007</v>
      </c>
      <c r="O87" s="6">
        <f t="shared" si="14"/>
        <v>4851103.4499999993</v>
      </c>
      <c r="P87" s="6">
        <f t="shared" si="14"/>
        <v>4918885.03</v>
      </c>
      <c r="Q87" s="6">
        <f t="shared" si="14"/>
        <v>5141976.5199999996</v>
      </c>
      <c r="R87" s="6">
        <f t="shared" si="14"/>
        <v>5638006.1600000001</v>
      </c>
      <c r="S87" s="6">
        <f t="shared" si="14"/>
        <v>5720996.3600000003</v>
      </c>
      <c r="T87" s="6">
        <f t="shared" si="14"/>
        <v>5653244.9799999995</v>
      </c>
      <c r="U87" s="17">
        <f>SUM(U73:U86)</f>
        <v>-67751.380000000543</v>
      </c>
      <c r="V87" s="45">
        <f t="shared" si="13"/>
        <v>-1.1842584007517275E-2</v>
      </c>
    </row>
    <row r="88" spans="1:22" x14ac:dyDescent="0.2">
      <c r="C88" s="1"/>
      <c r="D88" s="1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8"/>
      <c r="V88" s="45"/>
    </row>
    <row r="89" spans="1:22" x14ac:dyDescent="0.2">
      <c r="C89" s="1"/>
      <c r="D89" s="5" t="s">
        <v>232</v>
      </c>
      <c r="E89" s="7">
        <f>E26+E72+E87</f>
        <v>12509587.260000002</v>
      </c>
      <c r="F89" s="7">
        <f t="shared" ref="F89:K89" si="15">F26+F72+F87</f>
        <v>12945319.15</v>
      </c>
      <c r="G89" s="7">
        <f t="shared" si="15"/>
        <v>13544401.350000001</v>
      </c>
      <c r="H89" s="7">
        <f t="shared" si="15"/>
        <v>14191363.469999999</v>
      </c>
      <c r="I89" s="7">
        <f t="shared" si="15"/>
        <v>12004639.210000003</v>
      </c>
      <c r="J89" s="7">
        <f t="shared" si="15"/>
        <v>12663388.310000001</v>
      </c>
      <c r="K89" s="7">
        <f t="shared" si="15"/>
        <v>12417466.92</v>
      </c>
      <c r="L89" s="7">
        <f t="shared" ref="L89:U89" si="16">L26+L72+L87</f>
        <v>9986541.2899999991</v>
      </c>
      <c r="M89" s="7">
        <f t="shared" si="16"/>
        <v>11122795.83</v>
      </c>
      <c r="N89" s="7">
        <f t="shared" si="16"/>
        <v>12108694.110000001</v>
      </c>
      <c r="O89" s="7">
        <f t="shared" si="16"/>
        <v>13422353.309999999</v>
      </c>
      <c r="P89" s="7">
        <f t="shared" si="16"/>
        <v>13412096.280000001</v>
      </c>
      <c r="Q89" s="7">
        <f t="shared" si="16"/>
        <v>13335396.17</v>
      </c>
      <c r="R89" s="7">
        <f t="shared" si="16"/>
        <v>13740748.190000001</v>
      </c>
      <c r="S89" s="7">
        <f t="shared" si="16"/>
        <v>14312213.07</v>
      </c>
      <c r="T89" s="7">
        <f t="shared" si="16"/>
        <v>13826979.08</v>
      </c>
      <c r="U89" s="19">
        <f t="shared" si="16"/>
        <v>-485233.99000000057</v>
      </c>
      <c r="V89" s="45">
        <f t="shared" ref="V89:V90" si="17">U89/S89</f>
        <v>-3.3903491208994455E-2</v>
      </c>
    </row>
    <row r="90" spans="1:22" x14ac:dyDescent="0.2">
      <c r="A90" s="3">
        <v>703000</v>
      </c>
      <c r="B90" s="3" t="s">
        <v>353</v>
      </c>
      <c r="C90" s="1">
        <v>711100</v>
      </c>
      <c r="D90" s="1" t="s">
        <v>68</v>
      </c>
      <c r="E90" s="77"/>
      <c r="F90" s="77"/>
      <c r="G90" s="77"/>
      <c r="H90" s="77"/>
      <c r="I90" s="77"/>
      <c r="J90" s="77"/>
      <c r="K90" s="77"/>
      <c r="L90" s="77"/>
      <c r="M90" s="77"/>
      <c r="N90" s="77"/>
      <c r="O90" s="77"/>
      <c r="P90" s="77"/>
      <c r="Q90" s="77"/>
      <c r="R90" s="77"/>
      <c r="S90" s="41">
        <v>12440</v>
      </c>
      <c r="T90" s="41"/>
      <c r="U90" s="16">
        <f t="shared" ref="U90" si="18">T90-S90</f>
        <v>-12440</v>
      </c>
      <c r="V90" s="45">
        <f t="shared" si="17"/>
        <v>-1</v>
      </c>
    </row>
    <row r="91" spans="1:22" x14ac:dyDescent="0.2">
      <c r="A91" s="3">
        <v>704500</v>
      </c>
      <c r="B91" s="3" t="s">
        <v>354</v>
      </c>
      <c r="C91" s="1">
        <v>711405</v>
      </c>
      <c r="D91" s="1" t="s">
        <v>182</v>
      </c>
      <c r="E91" s="2"/>
      <c r="F91" s="2"/>
      <c r="G91" s="2">
        <v>0</v>
      </c>
      <c r="H91" s="2"/>
      <c r="I91" s="2">
        <v>161.09</v>
      </c>
      <c r="J91" s="2"/>
      <c r="K91" s="2"/>
      <c r="L91" s="2">
        <v>0</v>
      </c>
      <c r="M91" s="2"/>
      <c r="N91" s="2"/>
      <c r="O91" s="2"/>
      <c r="P91" s="2"/>
      <c r="Q91" s="2"/>
      <c r="R91" s="2"/>
      <c r="S91" s="2"/>
      <c r="T91" s="2"/>
      <c r="U91" s="16">
        <f t="shared" ref="U91:U154" si="19">T91-S91</f>
        <v>0</v>
      </c>
      <c r="V91" s="45" t="e">
        <f t="shared" ref="V91:V154" si="20">U91/S91</f>
        <v>#DIV/0!</v>
      </c>
    </row>
    <row r="92" spans="1:22" x14ac:dyDescent="0.2">
      <c r="A92" s="3">
        <v>704600</v>
      </c>
      <c r="B92" s="3" t="s">
        <v>355</v>
      </c>
      <c r="C92" s="1">
        <v>711500</v>
      </c>
      <c r="D92" s="1" t="s">
        <v>69</v>
      </c>
      <c r="E92" s="2"/>
      <c r="F92" s="2"/>
      <c r="G92" s="2">
        <v>-7915.5</v>
      </c>
      <c r="H92" s="2">
        <v>-7.0000000000000007E-2</v>
      </c>
      <c r="I92" s="2"/>
      <c r="J92" s="2">
        <v>1345</v>
      </c>
      <c r="K92" s="2"/>
      <c r="L92" s="2"/>
      <c r="M92" s="2">
        <v>12986.56</v>
      </c>
      <c r="N92" s="42">
        <v>239.78</v>
      </c>
      <c r="O92" s="42">
        <v>1083.97</v>
      </c>
      <c r="P92" s="42">
        <f>748218.53-737818.17</f>
        <v>10400.359999999986</v>
      </c>
      <c r="Q92" s="42">
        <f>-737818.17+737818.17</f>
        <v>0</v>
      </c>
      <c r="R92" s="42"/>
      <c r="S92" s="42"/>
      <c r="T92" s="42"/>
      <c r="U92" s="16">
        <f t="shared" si="19"/>
        <v>0</v>
      </c>
      <c r="V92" s="45" t="e">
        <f t="shared" si="20"/>
        <v>#DIV/0!</v>
      </c>
    </row>
    <row r="93" spans="1:22" x14ac:dyDescent="0.2">
      <c r="A93" s="3">
        <v>702106</v>
      </c>
      <c r="B93" s="3" t="s">
        <v>351</v>
      </c>
      <c r="C93" s="1">
        <v>713100</v>
      </c>
      <c r="D93" s="1" t="s">
        <v>70</v>
      </c>
      <c r="E93" s="2">
        <v>57464.710000000006</v>
      </c>
      <c r="F93" s="2">
        <v>61666.81</v>
      </c>
      <c r="G93" s="2">
        <v>85024.42</v>
      </c>
      <c r="H93" s="2">
        <v>134700.94</v>
      </c>
      <c r="I93" s="2">
        <v>116778.92</v>
      </c>
      <c r="J93" s="2">
        <v>121260.21</v>
      </c>
      <c r="K93" s="2">
        <v>98976.97</v>
      </c>
      <c r="L93" s="2">
        <v>79243.78</v>
      </c>
      <c r="M93" s="2">
        <v>64952.630000000005</v>
      </c>
      <c r="N93" s="42">
        <v>84891.77</v>
      </c>
      <c r="O93" s="42">
        <v>59714.45</v>
      </c>
      <c r="P93" s="42">
        <v>73238.11</v>
      </c>
      <c r="Q93" s="49">
        <v>47358.79</v>
      </c>
      <c r="R93" s="39">
        <v>72532.22</v>
      </c>
      <c r="S93" s="41">
        <v>50271.179999999993</v>
      </c>
      <c r="T93" s="41">
        <v>498.55</v>
      </c>
      <c r="U93" s="16">
        <f t="shared" si="19"/>
        <v>-49772.62999999999</v>
      </c>
      <c r="V93" s="45">
        <f t="shared" si="20"/>
        <v>-0.99008278699644603</v>
      </c>
    </row>
    <row r="94" spans="1:22" x14ac:dyDescent="0.2">
      <c r="A94" s="3">
        <v>702107</v>
      </c>
      <c r="B94" s="3" t="s">
        <v>183</v>
      </c>
      <c r="C94" s="1">
        <v>713105</v>
      </c>
      <c r="D94" s="1" t="s">
        <v>183</v>
      </c>
      <c r="E94" s="2">
        <v>391.11</v>
      </c>
      <c r="F94" s="2">
        <v>243.45000000000002</v>
      </c>
      <c r="G94" s="2"/>
      <c r="H94" s="2">
        <v>771</v>
      </c>
      <c r="I94" s="2"/>
      <c r="J94" s="2"/>
      <c r="K94" s="2"/>
      <c r="L94" s="2"/>
      <c r="M94" s="2"/>
      <c r="N94" s="43"/>
      <c r="O94" s="2"/>
      <c r="P94" s="2"/>
      <c r="Q94" s="2"/>
      <c r="R94" s="2"/>
      <c r="S94" s="2"/>
      <c r="T94" s="2"/>
      <c r="U94" s="16">
        <f t="shared" si="19"/>
        <v>0</v>
      </c>
      <c r="V94" s="45" t="e">
        <f t="shared" si="20"/>
        <v>#DIV/0!</v>
      </c>
    </row>
    <row r="95" spans="1:22" x14ac:dyDescent="0.2">
      <c r="A95" s="3">
        <v>702108</v>
      </c>
      <c r="B95" s="3" t="s">
        <v>184</v>
      </c>
      <c r="C95" s="1">
        <v>713110</v>
      </c>
      <c r="D95" s="1" t="s">
        <v>184</v>
      </c>
      <c r="E95" s="2">
        <v>4151</v>
      </c>
      <c r="F95" s="2">
        <v>2600</v>
      </c>
      <c r="G95" s="2">
        <v>4825</v>
      </c>
      <c r="H95" s="2">
        <v>188</v>
      </c>
      <c r="I95" s="2"/>
      <c r="J95" s="2"/>
      <c r="K95" s="2"/>
      <c r="L95" s="2"/>
      <c r="M95" s="2">
        <v>15900</v>
      </c>
      <c r="N95" s="43"/>
      <c r="O95" s="2"/>
      <c r="P95" s="2"/>
      <c r="Q95" s="2"/>
      <c r="R95" s="2"/>
      <c r="S95" s="2"/>
      <c r="T95" s="2"/>
      <c r="U95" s="16">
        <f t="shared" si="19"/>
        <v>0</v>
      </c>
      <c r="V95" s="45" t="e">
        <f t="shared" si="20"/>
        <v>#DIV/0!</v>
      </c>
    </row>
    <row r="96" spans="1:22" x14ac:dyDescent="0.2">
      <c r="A96" s="3">
        <v>702109</v>
      </c>
      <c r="B96" s="3" t="s">
        <v>72</v>
      </c>
      <c r="C96" s="1">
        <v>713115</v>
      </c>
      <c r="D96" s="1" t="s">
        <v>72</v>
      </c>
      <c r="E96" s="2">
        <v>2371.42</v>
      </c>
      <c r="F96" s="2">
        <v>2318.34</v>
      </c>
      <c r="G96" s="2">
        <v>5567.12</v>
      </c>
      <c r="H96" s="2">
        <v>477.56</v>
      </c>
      <c r="I96" s="2">
        <v>2775.51</v>
      </c>
      <c r="J96" s="2">
        <v>800.34</v>
      </c>
      <c r="K96" s="2">
        <v>-1548.1600000000005</v>
      </c>
      <c r="L96" s="2">
        <v>3632.6800000000003</v>
      </c>
      <c r="M96" s="2">
        <v>6554.47</v>
      </c>
      <c r="N96" s="42">
        <v>2255.86</v>
      </c>
      <c r="O96" s="42">
        <v>9666.18</v>
      </c>
      <c r="P96" s="42">
        <v>8175.83</v>
      </c>
      <c r="Q96" s="49">
        <v>1653.51</v>
      </c>
      <c r="R96" s="39">
        <v>1119.55</v>
      </c>
      <c r="S96" s="41">
        <v>76.88</v>
      </c>
      <c r="T96" s="41"/>
      <c r="U96" s="16">
        <f t="shared" si="19"/>
        <v>-76.88</v>
      </c>
      <c r="V96" s="45">
        <f t="shared" si="20"/>
        <v>-1</v>
      </c>
    </row>
    <row r="97" spans="1:22" x14ac:dyDescent="0.2">
      <c r="A97" s="3">
        <v>702110</v>
      </c>
      <c r="B97" s="3" t="s">
        <v>185</v>
      </c>
      <c r="C97" s="1">
        <v>713120</v>
      </c>
      <c r="D97" s="1" t="s">
        <v>185</v>
      </c>
      <c r="E97" s="2"/>
      <c r="F97" s="2"/>
      <c r="G97" s="2">
        <v>5013</v>
      </c>
      <c r="H97" s="2"/>
      <c r="I97" s="2"/>
      <c r="J97" s="2"/>
      <c r="K97" s="2"/>
      <c r="L97" s="2"/>
      <c r="M97" s="2"/>
      <c r="N97" s="43"/>
      <c r="O97" s="42"/>
      <c r="P97" s="42"/>
      <c r="Q97" s="42"/>
      <c r="R97" s="42"/>
      <c r="S97" s="42"/>
      <c r="T97" s="42"/>
      <c r="U97" s="16">
        <f t="shared" si="19"/>
        <v>0</v>
      </c>
      <c r="V97" s="45" t="e">
        <f t="shared" si="20"/>
        <v>#DIV/0!</v>
      </c>
    </row>
    <row r="98" spans="1:22" x14ac:dyDescent="0.2">
      <c r="A98" s="3">
        <v>702111</v>
      </c>
      <c r="B98" s="3" t="s">
        <v>352</v>
      </c>
      <c r="C98" s="1">
        <v>713125</v>
      </c>
      <c r="D98" s="1" t="s">
        <v>73</v>
      </c>
      <c r="E98" s="2">
        <v>-181.84999999999991</v>
      </c>
      <c r="F98" s="2">
        <v>226.45</v>
      </c>
      <c r="G98" s="2">
        <v>1759.8000000000002</v>
      </c>
      <c r="H98" s="2">
        <v>2592.7000000000003</v>
      </c>
      <c r="I98" s="2">
        <v>318.45</v>
      </c>
      <c r="J98" s="2">
        <v>105</v>
      </c>
      <c r="K98" s="2">
        <v>1605.43</v>
      </c>
      <c r="L98" s="2">
        <v>6574.2</v>
      </c>
      <c r="M98" s="2">
        <v>416.11</v>
      </c>
      <c r="N98" s="42">
        <v>3296.96</v>
      </c>
      <c r="O98" s="42">
        <v>860</v>
      </c>
      <c r="P98" s="42">
        <v>2485.6799999999998</v>
      </c>
      <c r="Q98" s="49">
        <v>1597.31</v>
      </c>
      <c r="R98" s="39">
        <v>2291.5099999999998</v>
      </c>
      <c r="S98" s="39"/>
      <c r="T98" s="41">
        <v>699.12</v>
      </c>
      <c r="U98" s="16">
        <f t="shared" si="19"/>
        <v>699.12</v>
      </c>
      <c r="V98" s="45" t="e">
        <f t="shared" si="20"/>
        <v>#DIV/0!</v>
      </c>
    </row>
    <row r="99" spans="1:22" x14ac:dyDescent="0.2">
      <c r="A99" s="3">
        <v>702104</v>
      </c>
      <c r="B99" s="3" t="s">
        <v>436</v>
      </c>
      <c r="C99" s="1">
        <v>713130</v>
      </c>
      <c r="D99" s="1" t="s">
        <v>186</v>
      </c>
      <c r="E99" s="2"/>
      <c r="F99" s="2"/>
      <c r="G99" s="2"/>
      <c r="H99" s="2">
        <v>9867.4500000000007</v>
      </c>
      <c r="I99" s="2">
        <v>3811.01</v>
      </c>
      <c r="J99" s="2">
        <v>3853.08</v>
      </c>
      <c r="K99" s="2">
        <v>2183.2800000000002</v>
      </c>
      <c r="L99" s="2">
        <v>4579.8599999999997</v>
      </c>
      <c r="M99" s="2">
        <v>2688.75</v>
      </c>
      <c r="N99" s="2"/>
      <c r="O99" s="2"/>
      <c r="P99" s="2"/>
      <c r="Q99" s="2"/>
      <c r="R99" s="2"/>
      <c r="S99" s="2"/>
      <c r="T99" s="41">
        <v>3500</v>
      </c>
      <c r="U99" s="16">
        <f t="shared" si="19"/>
        <v>3500</v>
      </c>
      <c r="V99" s="45" t="e">
        <f t="shared" si="20"/>
        <v>#DIV/0!</v>
      </c>
    </row>
    <row r="100" spans="1:22" x14ac:dyDescent="0.2">
      <c r="A100" s="3">
        <v>702200</v>
      </c>
      <c r="B100" s="3" t="s">
        <v>74</v>
      </c>
      <c r="C100" s="1">
        <v>713135</v>
      </c>
      <c r="D100" s="1" t="s">
        <v>74</v>
      </c>
      <c r="E100" s="2">
        <v>75097.790000000008</v>
      </c>
      <c r="F100" s="2">
        <v>63738.610000000008</v>
      </c>
      <c r="G100" s="2">
        <v>60277.11</v>
      </c>
      <c r="H100" s="2">
        <v>155830.59</v>
      </c>
      <c r="I100" s="2">
        <v>103554.75</v>
      </c>
      <c r="J100" s="2">
        <v>52303.66</v>
      </c>
      <c r="K100" s="2">
        <v>46641.120000000003</v>
      </c>
      <c r="L100" s="2">
        <v>54922.13</v>
      </c>
      <c r="M100" s="2">
        <v>36760.92</v>
      </c>
      <c r="N100" s="42">
        <v>45136.74</v>
      </c>
      <c r="O100" s="42">
        <v>47984.11</v>
      </c>
      <c r="P100" s="42">
        <v>47097.95</v>
      </c>
      <c r="Q100" s="49">
        <v>28561.890000000007</v>
      </c>
      <c r="R100" s="39">
        <v>149901.34</v>
      </c>
      <c r="S100" s="41">
        <v>45574.45</v>
      </c>
      <c r="T100" s="41">
        <v>22142.94</v>
      </c>
      <c r="U100" s="16">
        <f t="shared" si="19"/>
        <v>-23431.51</v>
      </c>
      <c r="V100" s="45">
        <f t="shared" si="20"/>
        <v>-0.5141369780655608</v>
      </c>
    </row>
    <row r="101" spans="1:22" x14ac:dyDescent="0.2">
      <c r="A101" s="3">
        <v>702103</v>
      </c>
      <c r="B101" s="3" t="s">
        <v>349</v>
      </c>
      <c r="C101" s="1">
        <v>713140</v>
      </c>
      <c r="D101" s="1" t="s">
        <v>75</v>
      </c>
      <c r="E101" s="2">
        <v>240946.2</v>
      </c>
      <c r="F101" s="2">
        <v>410942.42</v>
      </c>
      <c r="G101" s="2">
        <v>142430.15</v>
      </c>
      <c r="H101" s="2">
        <v>161937.20000000001</v>
      </c>
      <c r="I101" s="2">
        <v>183944.32000000001</v>
      </c>
      <c r="J101" s="2">
        <v>166967.87000000002</v>
      </c>
      <c r="K101" s="2">
        <v>113260.86</v>
      </c>
      <c r="L101" s="2">
        <v>102711.53</v>
      </c>
      <c r="M101" s="2">
        <v>107837.88</v>
      </c>
      <c r="N101" s="42">
        <v>182375.88</v>
      </c>
      <c r="O101" s="42">
        <v>277465.52</v>
      </c>
      <c r="P101" s="42">
        <v>332393.69</v>
      </c>
      <c r="Q101" s="49">
        <v>307887.78999999998</v>
      </c>
      <c r="R101" s="39">
        <v>1644921.06</v>
      </c>
      <c r="S101" s="41">
        <v>1541756.2000000002</v>
      </c>
      <c r="T101" s="41">
        <v>1483875.37</v>
      </c>
      <c r="U101" s="16">
        <f t="shared" si="19"/>
        <v>-57880.830000000075</v>
      </c>
      <c r="V101" s="45">
        <f t="shared" si="20"/>
        <v>-3.7542141876906396E-2</v>
      </c>
    </row>
    <row r="102" spans="1:22" x14ac:dyDescent="0.2">
      <c r="A102" s="72">
        <v>702112</v>
      </c>
      <c r="B102" s="72" t="s">
        <v>438</v>
      </c>
      <c r="C102" s="72">
        <v>713150</v>
      </c>
      <c r="D102" s="72" t="s">
        <v>258</v>
      </c>
      <c r="E102" s="2"/>
      <c r="F102" s="2"/>
      <c r="G102" s="2"/>
      <c r="H102" s="2"/>
      <c r="I102" s="2"/>
      <c r="J102" s="2"/>
      <c r="K102" s="2"/>
      <c r="L102" s="2"/>
      <c r="M102" s="2"/>
      <c r="N102" s="42"/>
      <c r="O102" s="42"/>
      <c r="P102" s="42"/>
      <c r="Q102" s="49"/>
      <c r="R102" s="39"/>
      <c r="S102" s="41">
        <v>39350.450000000004</v>
      </c>
      <c r="T102" s="41">
        <v>114395.91</v>
      </c>
      <c r="U102" s="16">
        <f t="shared" si="19"/>
        <v>75045.459999999992</v>
      </c>
      <c r="V102" s="45">
        <f t="shared" si="20"/>
        <v>1.9071055095939178</v>
      </c>
    </row>
    <row r="103" spans="1:22" x14ac:dyDescent="0.2">
      <c r="A103" s="3">
        <v>701000</v>
      </c>
      <c r="B103" s="3" t="s">
        <v>77</v>
      </c>
      <c r="C103" s="1">
        <v>721100</v>
      </c>
      <c r="D103" s="1" t="s">
        <v>77</v>
      </c>
      <c r="E103" s="2">
        <v>1180.3800000000001</v>
      </c>
      <c r="F103" s="2">
        <v>4306.91</v>
      </c>
      <c r="G103" s="2">
        <v>4661.16</v>
      </c>
      <c r="H103" s="2">
        <v>1070</v>
      </c>
      <c r="I103" s="2">
        <v>350</v>
      </c>
      <c r="J103" s="2"/>
      <c r="K103" s="2">
        <v>5073.6000000000004</v>
      </c>
      <c r="L103" s="2">
        <v>1950</v>
      </c>
      <c r="M103" s="2">
        <v>1158.5</v>
      </c>
      <c r="N103" s="42">
        <v>3240</v>
      </c>
      <c r="O103" s="2"/>
      <c r="P103" s="2"/>
      <c r="Q103" s="2"/>
      <c r="R103" s="2"/>
      <c r="S103" s="2"/>
      <c r="T103" s="2"/>
      <c r="U103" s="16">
        <f t="shared" si="19"/>
        <v>0</v>
      </c>
      <c r="V103" s="45" t="e">
        <f t="shared" si="20"/>
        <v>#DIV/0!</v>
      </c>
    </row>
    <row r="104" spans="1:22" x14ac:dyDescent="0.2">
      <c r="A104" s="3">
        <v>701001</v>
      </c>
      <c r="B104" s="3" t="s">
        <v>78</v>
      </c>
      <c r="C104" s="1">
        <v>721105</v>
      </c>
      <c r="D104" s="1" t="s">
        <v>78</v>
      </c>
      <c r="E104" s="2">
        <v>116408.98000000001</v>
      </c>
      <c r="F104" s="2">
        <v>88285.28</v>
      </c>
      <c r="G104" s="2">
        <v>15801.83</v>
      </c>
      <c r="H104" s="2">
        <v>5409.71</v>
      </c>
      <c r="I104" s="2">
        <v>15209.34</v>
      </c>
      <c r="J104" s="2">
        <v>27200.15</v>
      </c>
      <c r="K104" s="2">
        <v>10177.07</v>
      </c>
      <c r="L104" s="2">
        <v>33276.33</v>
      </c>
      <c r="M104" s="2">
        <v>29766.81</v>
      </c>
      <c r="N104" s="42">
        <v>244699.28999999995</v>
      </c>
      <c r="O104" s="42">
        <v>206126.95000000007</v>
      </c>
      <c r="P104" s="42">
        <v>25367.83</v>
      </c>
      <c r="Q104" s="49">
        <v>22832.82</v>
      </c>
      <c r="R104" s="39">
        <v>22588.380000000005</v>
      </c>
      <c r="S104" s="41">
        <v>10410.470000000001</v>
      </c>
      <c r="T104" s="41">
        <v>8140.2800000000007</v>
      </c>
      <c r="U104" s="16">
        <f t="shared" si="19"/>
        <v>-2270.1900000000005</v>
      </c>
      <c r="V104" s="45">
        <f t="shared" si="20"/>
        <v>-0.21806796427058531</v>
      </c>
    </row>
    <row r="105" spans="1:22" x14ac:dyDescent="0.2">
      <c r="A105" s="3">
        <v>701200</v>
      </c>
      <c r="B105" s="3" t="s">
        <v>338</v>
      </c>
      <c r="C105" s="1">
        <v>721110</v>
      </c>
      <c r="D105" s="1" t="s">
        <v>79</v>
      </c>
      <c r="E105" s="2"/>
      <c r="F105" s="2"/>
      <c r="G105" s="2"/>
      <c r="H105" s="2"/>
      <c r="I105" s="2"/>
      <c r="J105" s="2">
        <v>2137.33</v>
      </c>
      <c r="K105" s="2">
        <v>1231.0899999999999</v>
      </c>
      <c r="L105" s="2">
        <v>1945.1100000000001</v>
      </c>
      <c r="M105" s="2">
        <v>2229.7800000000002</v>
      </c>
      <c r="N105" s="42">
        <v>1038.33</v>
      </c>
      <c r="O105" s="42"/>
      <c r="P105" s="42"/>
      <c r="Q105" s="42"/>
      <c r="R105" s="42"/>
      <c r="S105" s="42"/>
      <c r="T105" s="42"/>
      <c r="U105" s="16">
        <f t="shared" si="19"/>
        <v>0</v>
      </c>
      <c r="V105" s="45" t="e">
        <f t="shared" si="20"/>
        <v>#DIV/0!</v>
      </c>
    </row>
    <row r="106" spans="1:22" x14ac:dyDescent="0.2">
      <c r="A106" s="3">
        <v>701202</v>
      </c>
      <c r="B106" s="3" t="s">
        <v>80</v>
      </c>
      <c r="C106" s="1">
        <v>721115</v>
      </c>
      <c r="D106" s="1" t="s">
        <v>80</v>
      </c>
      <c r="E106" s="2">
        <v>3658.75</v>
      </c>
      <c r="F106" s="2">
        <v>945</v>
      </c>
      <c r="G106" s="2">
        <v>1320</v>
      </c>
      <c r="H106" s="2">
        <v>2045</v>
      </c>
      <c r="I106" s="2">
        <v>195</v>
      </c>
      <c r="J106" s="2">
        <v>190.35</v>
      </c>
      <c r="K106" s="2"/>
      <c r="L106" s="2">
        <v>780</v>
      </c>
      <c r="M106" s="2">
        <v>10904</v>
      </c>
      <c r="N106" s="42">
        <v>9995</v>
      </c>
      <c r="O106" s="42">
        <v>4016</v>
      </c>
      <c r="P106" s="42">
        <v>2293</v>
      </c>
      <c r="Q106" s="49">
        <v>955</v>
      </c>
      <c r="R106" s="39">
        <v>737.5</v>
      </c>
      <c r="S106" s="41">
        <v>47.31</v>
      </c>
      <c r="T106" s="41">
        <v>2595</v>
      </c>
      <c r="U106" s="16">
        <f t="shared" si="19"/>
        <v>2547.69</v>
      </c>
      <c r="V106" s="45">
        <f t="shared" si="20"/>
        <v>53.850982878883954</v>
      </c>
    </row>
    <row r="107" spans="1:22" x14ac:dyDescent="0.2">
      <c r="A107" s="3">
        <v>701404</v>
      </c>
      <c r="B107" s="3" t="s">
        <v>343</v>
      </c>
      <c r="C107" s="1">
        <v>721120</v>
      </c>
      <c r="D107" s="1" t="s">
        <v>81</v>
      </c>
      <c r="E107" s="2">
        <v>9550</v>
      </c>
      <c r="F107" s="2">
        <v>16325</v>
      </c>
      <c r="G107" s="2">
        <v>15625</v>
      </c>
      <c r="H107" s="2">
        <v>29878.59</v>
      </c>
      <c r="I107" s="2">
        <v>13074</v>
      </c>
      <c r="J107" s="2">
        <v>12448.68</v>
      </c>
      <c r="K107" s="2">
        <v>5554.79</v>
      </c>
      <c r="L107" s="2">
        <v>7135</v>
      </c>
      <c r="M107" s="2">
        <v>2980</v>
      </c>
      <c r="N107" s="42">
        <v>12889.04</v>
      </c>
      <c r="O107" s="42">
        <v>15348.99</v>
      </c>
      <c r="P107" s="42">
        <v>6799</v>
      </c>
      <c r="Q107" s="49">
        <v>849.99</v>
      </c>
      <c r="R107" s="39">
        <v>4650</v>
      </c>
      <c r="S107" s="41">
        <v>1530.1100000000001</v>
      </c>
      <c r="T107" s="41">
        <v>700</v>
      </c>
      <c r="U107" s="16">
        <f t="shared" si="19"/>
        <v>-830.11000000000013</v>
      </c>
      <c r="V107" s="45">
        <f t="shared" si="20"/>
        <v>-0.54251655109763353</v>
      </c>
    </row>
    <row r="108" spans="1:22" x14ac:dyDescent="0.2">
      <c r="A108" s="3">
        <v>701100</v>
      </c>
      <c r="B108" s="3" t="s">
        <v>337</v>
      </c>
      <c r="C108" s="1">
        <v>721125</v>
      </c>
      <c r="D108" s="1" t="s">
        <v>82</v>
      </c>
      <c r="E108" s="2">
        <v>762</v>
      </c>
      <c r="F108" s="2"/>
      <c r="G108" s="2"/>
      <c r="H108" s="2">
        <v>1140</v>
      </c>
      <c r="I108" s="2">
        <v>3.1</v>
      </c>
      <c r="J108" s="2">
        <v>0.19</v>
      </c>
      <c r="K108" s="2"/>
      <c r="L108" s="2"/>
      <c r="M108" s="2"/>
      <c r="N108" s="2"/>
      <c r="O108" s="2"/>
      <c r="P108" s="2">
        <v>1582.63</v>
      </c>
      <c r="Q108" s="2">
        <v>637697.11</v>
      </c>
      <c r="R108" s="2"/>
      <c r="S108" s="2"/>
      <c r="T108" s="2"/>
      <c r="U108" s="16">
        <f t="shared" si="19"/>
        <v>0</v>
      </c>
      <c r="V108" s="45" t="e">
        <f t="shared" si="20"/>
        <v>#DIV/0!</v>
      </c>
    </row>
    <row r="109" spans="1:22" x14ac:dyDescent="0.2">
      <c r="A109">
        <v>701105</v>
      </c>
      <c r="B109" t="s">
        <v>467</v>
      </c>
      <c r="C109" s="1"/>
      <c r="D109" s="1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>
        <v>463585.71</v>
      </c>
      <c r="S109" s="41">
        <v>340845.26</v>
      </c>
      <c r="T109" s="41">
        <v>284637.19</v>
      </c>
      <c r="U109" s="16">
        <f t="shared" si="19"/>
        <v>-56208.070000000007</v>
      </c>
      <c r="V109" s="45">
        <f t="shared" si="20"/>
        <v>-0.16490788224545064</v>
      </c>
    </row>
    <row r="110" spans="1:22" x14ac:dyDescent="0.2">
      <c r="A110" s="72">
        <v>701300</v>
      </c>
      <c r="B110" s="72" t="s">
        <v>276</v>
      </c>
      <c r="C110" s="72">
        <v>721130</v>
      </c>
      <c r="D110" s="72" t="s">
        <v>276</v>
      </c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41"/>
      <c r="T110" s="41">
        <v>4651.5</v>
      </c>
      <c r="U110" s="16">
        <f t="shared" si="19"/>
        <v>4651.5</v>
      </c>
      <c r="V110" s="45" t="e">
        <f t="shared" si="20"/>
        <v>#DIV/0!</v>
      </c>
    </row>
    <row r="111" spans="1:22" x14ac:dyDescent="0.2">
      <c r="A111" s="3">
        <v>701301</v>
      </c>
      <c r="B111" s="3" t="s">
        <v>339</v>
      </c>
      <c r="C111" s="1">
        <v>721135</v>
      </c>
      <c r="D111" s="1" t="s">
        <v>83</v>
      </c>
      <c r="E111" s="2"/>
      <c r="F111" s="2">
        <v>-435</v>
      </c>
      <c r="G111" s="2">
        <v>-435</v>
      </c>
      <c r="H111" s="2">
        <v>1000</v>
      </c>
      <c r="I111" s="2"/>
      <c r="J111" s="2"/>
      <c r="K111" s="2"/>
      <c r="L111" s="2"/>
      <c r="M111" s="2"/>
      <c r="N111" s="42">
        <v>3000</v>
      </c>
      <c r="O111" s="2"/>
      <c r="P111" s="2"/>
      <c r="Q111" s="2"/>
      <c r="R111" s="2"/>
      <c r="S111" s="2"/>
      <c r="T111" s="2"/>
      <c r="U111" s="16">
        <f t="shared" si="19"/>
        <v>0</v>
      </c>
      <c r="V111" s="45" t="e">
        <f t="shared" si="20"/>
        <v>#DIV/0!</v>
      </c>
    </row>
    <row r="112" spans="1:22" x14ac:dyDescent="0.2">
      <c r="A112" s="3">
        <v>701403</v>
      </c>
      <c r="B112" s="3" t="s">
        <v>342</v>
      </c>
      <c r="C112" s="1">
        <v>721140</v>
      </c>
      <c r="D112" s="1" t="s">
        <v>84</v>
      </c>
      <c r="E112" s="2">
        <v>20138.29</v>
      </c>
      <c r="F112" s="2">
        <v>17563.8</v>
      </c>
      <c r="G112" s="2">
        <v>16683.46</v>
      </c>
      <c r="H112" s="2">
        <v>39740.969999999994</v>
      </c>
      <c r="I112" s="2">
        <v>18561.78</v>
      </c>
      <c r="J112" s="2">
        <v>34239.83</v>
      </c>
      <c r="K112" s="2">
        <v>27347.43</v>
      </c>
      <c r="L112" s="2">
        <v>33016.199999999997</v>
      </c>
      <c r="M112" s="2">
        <v>17643.21</v>
      </c>
      <c r="N112" s="42">
        <v>22311.07</v>
      </c>
      <c r="O112" s="42">
        <v>17790.759999999998</v>
      </c>
      <c r="P112" s="42">
        <v>12110.19</v>
      </c>
      <c r="Q112" s="49">
        <v>9913.7199999999993</v>
      </c>
      <c r="R112" s="39">
        <v>12312.2</v>
      </c>
      <c r="S112" s="41">
        <v>10387.44</v>
      </c>
      <c r="T112" s="41">
        <v>15242.63</v>
      </c>
      <c r="U112" s="16">
        <f t="shared" si="19"/>
        <v>4855.1899999999987</v>
      </c>
      <c r="V112" s="45">
        <f t="shared" si="20"/>
        <v>0.46740967938202277</v>
      </c>
    </row>
    <row r="113" spans="1:22" x14ac:dyDescent="0.2">
      <c r="A113" s="3">
        <v>701302</v>
      </c>
      <c r="B113" s="3" t="s">
        <v>340</v>
      </c>
      <c r="C113" s="1">
        <v>721145</v>
      </c>
      <c r="D113" s="1" t="s">
        <v>85</v>
      </c>
      <c r="E113" s="2">
        <v>101727.45000000001</v>
      </c>
      <c r="F113" s="2">
        <v>43300.049999999988</v>
      </c>
      <c r="G113" s="2">
        <v>121768.55</v>
      </c>
      <c r="H113" s="2">
        <v>133555.88</v>
      </c>
      <c r="I113" s="2">
        <v>62511.13</v>
      </c>
      <c r="J113" s="2">
        <v>31171.34</v>
      </c>
      <c r="K113" s="2">
        <v>64471.39</v>
      </c>
      <c r="L113" s="2">
        <v>27138.85</v>
      </c>
      <c r="M113" s="2">
        <v>37921.22</v>
      </c>
      <c r="N113" s="42">
        <v>58706.999999999993</v>
      </c>
      <c r="O113" s="42">
        <v>80376.850000000006</v>
      </c>
      <c r="P113" s="42">
        <v>75573.58</v>
      </c>
      <c r="Q113" s="49">
        <v>51411.12</v>
      </c>
      <c r="R113" s="39">
        <v>23823.86</v>
      </c>
      <c r="S113" s="41">
        <v>26215.660000000003</v>
      </c>
      <c r="T113" s="41">
        <v>15151.1</v>
      </c>
      <c r="U113" s="16">
        <f t="shared" si="19"/>
        <v>-11064.560000000003</v>
      </c>
      <c r="V113" s="45">
        <f t="shared" si="20"/>
        <v>-0.42205918142057081</v>
      </c>
    </row>
    <row r="114" spans="1:22" x14ac:dyDescent="0.2">
      <c r="A114" s="3">
        <v>701400</v>
      </c>
      <c r="B114" s="3" t="s">
        <v>341</v>
      </c>
      <c r="C114" s="1">
        <v>721146</v>
      </c>
      <c r="D114" s="1" t="s">
        <v>86</v>
      </c>
      <c r="E114" s="2">
        <v>1000</v>
      </c>
      <c r="F114" s="2"/>
      <c r="G114" s="2"/>
      <c r="H114" s="2">
        <v>6025</v>
      </c>
      <c r="I114" s="2">
        <v>500</v>
      </c>
      <c r="J114" s="2"/>
      <c r="K114" s="2">
        <v>1000</v>
      </c>
      <c r="L114" s="2"/>
      <c r="M114" s="2">
        <v>600</v>
      </c>
      <c r="N114" s="42">
        <v>297</v>
      </c>
      <c r="O114" s="42">
        <v>350</v>
      </c>
      <c r="P114" s="42"/>
      <c r="Q114" s="49">
        <v>600</v>
      </c>
      <c r="R114" s="39">
        <v>524</v>
      </c>
      <c r="S114" s="41">
        <v>450</v>
      </c>
      <c r="T114" s="41"/>
      <c r="U114" s="16">
        <f t="shared" si="19"/>
        <v>-450</v>
      </c>
      <c r="V114" s="45">
        <f t="shared" si="20"/>
        <v>-1</v>
      </c>
    </row>
    <row r="115" spans="1:22" x14ac:dyDescent="0.2">
      <c r="A115" s="3">
        <v>701406</v>
      </c>
      <c r="B115" s="3" t="s">
        <v>345</v>
      </c>
      <c r="C115" s="1">
        <v>721150</v>
      </c>
      <c r="D115" s="1" t="s">
        <v>87</v>
      </c>
      <c r="E115" s="2">
        <v>85447.5</v>
      </c>
      <c r="F115" s="2">
        <v>93300</v>
      </c>
      <c r="G115" s="2">
        <v>89900</v>
      </c>
      <c r="H115" s="2">
        <v>80150</v>
      </c>
      <c r="I115" s="2">
        <v>87700</v>
      </c>
      <c r="J115" s="2">
        <v>80200</v>
      </c>
      <c r="K115" s="2">
        <v>80891.25</v>
      </c>
      <c r="L115" s="2">
        <v>105410.83</v>
      </c>
      <c r="M115" s="2">
        <v>71201.75</v>
      </c>
      <c r="N115" s="42">
        <v>80732.5</v>
      </c>
      <c r="O115" s="42">
        <v>124333.5</v>
      </c>
      <c r="P115" s="42">
        <v>85322.72</v>
      </c>
      <c r="Q115" s="49">
        <v>114683.28</v>
      </c>
      <c r="R115" s="39">
        <v>60362.16</v>
      </c>
      <c r="S115" s="41">
        <v>55801.64</v>
      </c>
      <c r="T115" s="41">
        <v>47600</v>
      </c>
      <c r="U115" s="16">
        <f t="shared" si="19"/>
        <v>-8201.64</v>
      </c>
      <c r="V115" s="45">
        <f t="shared" si="20"/>
        <v>-0.1469784759014251</v>
      </c>
    </row>
    <row r="116" spans="1:22" x14ac:dyDescent="0.2">
      <c r="A116" s="3">
        <v>701406</v>
      </c>
      <c r="B116" s="3" t="s">
        <v>345</v>
      </c>
      <c r="C116" s="1">
        <v>721152</v>
      </c>
      <c r="D116" s="1" t="s">
        <v>187</v>
      </c>
      <c r="E116" s="2"/>
      <c r="F116" s="2"/>
      <c r="G116" s="2"/>
      <c r="H116" s="2"/>
      <c r="I116" s="2"/>
      <c r="J116" s="2"/>
      <c r="K116" s="2">
        <v>7500</v>
      </c>
      <c r="L116" s="2">
        <v>99</v>
      </c>
      <c r="M116" s="2"/>
      <c r="N116" s="2"/>
      <c r="O116" s="2"/>
      <c r="P116" s="2"/>
      <c r="Q116" s="49">
        <v>8780</v>
      </c>
      <c r="R116" s="49"/>
      <c r="S116" s="49"/>
      <c r="T116" s="49"/>
      <c r="U116" s="16">
        <f t="shared" si="19"/>
        <v>0</v>
      </c>
      <c r="V116" s="45" t="e">
        <f t="shared" si="20"/>
        <v>#DIV/0!</v>
      </c>
    </row>
    <row r="117" spans="1:22" x14ac:dyDescent="0.2">
      <c r="A117" s="3">
        <v>701405</v>
      </c>
      <c r="B117" s="3" t="s">
        <v>344</v>
      </c>
      <c r="C117" s="1">
        <v>721160</v>
      </c>
      <c r="D117" s="1" t="s">
        <v>88</v>
      </c>
      <c r="E117" s="2"/>
      <c r="F117" s="2"/>
      <c r="G117" s="2"/>
      <c r="H117" s="2"/>
      <c r="I117" s="2"/>
      <c r="J117" s="2"/>
      <c r="K117" s="2">
        <v>12321.71</v>
      </c>
      <c r="L117" s="2">
        <v>17220.14</v>
      </c>
      <c r="M117" s="2">
        <v>655</v>
      </c>
      <c r="N117" s="42">
        <v>52776.02</v>
      </c>
      <c r="O117" s="42">
        <v>21322.14</v>
      </c>
      <c r="P117" s="42">
        <v>900</v>
      </c>
      <c r="Q117" s="49">
        <v>15584.51</v>
      </c>
      <c r="R117" s="39">
        <v>250</v>
      </c>
      <c r="S117" s="41">
        <v>19983.29</v>
      </c>
      <c r="T117" s="41"/>
      <c r="U117" s="16">
        <f t="shared" si="19"/>
        <v>-19983.29</v>
      </c>
      <c r="V117" s="45">
        <f t="shared" si="20"/>
        <v>-1</v>
      </c>
    </row>
    <row r="118" spans="1:22" x14ac:dyDescent="0.2">
      <c r="A118" s="3">
        <v>701500</v>
      </c>
      <c r="B118" s="3" t="s">
        <v>346</v>
      </c>
      <c r="C118" s="1">
        <v>722100</v>
      </c>
      <c r="D118" s="1" t="s">
        <v>89</v>
      </c>
      <c r="E118" s="2">
        <v>36528.36</v>
      </c>
      <c r="F118" s="2">
        <v>37695.600000000006</v>
      </c>
      <c r="G118" s="2">
        <v>41376.050000000003</v>
      </c>
      <c r="H118" s="2">
        <v>37229.06</v>
      </c>
      <c r="I118" s="2">
        <v>27385.34</v>
      </c>
      <c r="J118" s="2">
        <v>29303.09</v>
      </c>
      <c r="K118" s="2">
        <v>14120.930000000002</v>
      </c>
      <c r="L118" s="2">
        <v>25064.55</v>
      </c>
      <c r="M118" s="2">
        <v>51076.56</v>
      </c>
      <c r="N118" s="42">
        <v>32018.51</v>
      </c>
      <c r="O118" s="42">
        <v>26036.26</v>
      </c>
      <c r="P118" s="42">
        <v>26802.39</v>
      </c>
      <c r="Q118" s="49">
        <v>33451.18</v>
      </c>
      <c r="R118" s="39">
        <v>22240.639999999999</v>
      </c>
      <c r="S118" s="41">
        <v>22122.95</v>
      </c>
      <c r="T118" s="41">
        <v>32462.52</v>
      </c>
      <c r="U118" s="16">
        <f t="shared" si="19"/>
        <v>10339.57</v>
      </c>
      <c r="V118" s="45">
        <f t="shared" si="20"/>
        <v>0.46736850194029272</v>
      </c>
    </row>
    <row r="119" spans="1:22" x14ac:dyDescent="0.2">
      <c r="A119" s="3">
        <v>701501</v>
      </c>
      <c r="B119" s="3" t="s">
        <v>90</v>
      </c>
      <c r="C119" s="1">
        <v>722105</v>
      </c>
      <c r="D119" s="1" t="s">
        <v>90</v>
      </c>
      <c r="E119" s="2">
        <v>2103.5700000000002</v>
      </c>
      <c r="F119" s="2">
        <v>901.47</v>
      </c>
      <c r="G119" s="2">
        <v>183046.80000000002</v>
      </c>
      <c r="H119" s="2">
        <v>204506.33</v>
      </c>
      <c r="I119" s="2">
        <v>169504.18000000002</v>
      </c>
      <c r="J119" s="2">
        <v>195978.26</v>
      </c>
      <c r="K119" s="2">
        <v>267752.03000000003</v>
      </c>
      <c r="L119" s="2">
        <v>257981.05000000002</v>
      </c>
      <c r="M119" s="2">
        <v>300091.92</v>
      </c>
      <c r="N119" s="42">
        <v>273937.15000000002</v>
      </c>
      <c r="O119" s="42">
        <v>242957.74</v>
      </c>
      <c r="P119" s="42">
        <v>233324.83</v>
      </c>
      <c r="Q119" s="49">
        <v>252553.16</v>
      </c>
      <c r="R119" s="39">
        <v>939.75000000000011</v>
      </c>
      <c r="S119" s="41">
        <v>5232.1400000000003</v>
      </c>
      <c r="T119" s="41">
        <v>18196.73</v>
      </c>
      <c r="U119" s="16">
        <f t="shared" si="19"/>
        <v>12964.59</v>
      </c>
      <c r="V119" s="45">
        <f t="shared" si="20"/>
        <v>2.4778752097612067</v>
      </c>
    </row>
    <row r="120" spans="1:22" x14ac:dyDescent="0.2">
      <c r="A120" s="3">
        <v>701502</v>
      </c>
      <c r="B120" s="3" t="s">
        <v>91</v>
      </c>
      <c r="C120" s="1">
        <v>722110</v>
      </c>
      <c r="D120" s="1" t="s">
        <v>91</v>
      </c>
      <c r="E120" s="2">
        <v>680</v>
      </c>
      <c r="F120" s="2">
        <v>3635</v>
      </c>
      <c r="G120" s="2">
        <v>3795</v>
      </c>
      <c r="H120" s="2">
        <v>3995</v>
      </c>
      <c r="I120" s="2">
        <v>1502</v>
      </c>
      <c r="J120" s="2">
        <v>12</v>
      </c>
      <c r="K120" s="2">
        <v>227.25</v>
      </c>
      <c r="L120" s="2">
        <v>132</v>
      </c>
      <c r="M120" s="2">
        <v>12</v>
      </c>
      <c r="N120" s="42">
        <v>10</v>
      </c>
      <c r="O120" s="42">
        <v>294</v>
      </c>
      <c r="P120" s="42">
        <v>48</v>
      </c>
      <c r="Q120" s="49">
        <v>528</v>
      </c>
      <c r="R120" s="39">
        <v>477</v>
      </c>
      <c r="S120" s="41">
        <v>5072</v>
      </c>
      <c r="T120" s="41">
        <v>60</v>
      </c>
      <c r="U120" s="16">
        <f t="shared" si="19"/>
        <v>-5012</v>
      </c>
      <c r="V120" s="45">
        <f t="shared" si="20"/>
        <v>-0.98817034700315454</v>
      </c>
    </row>
    <row r="121" spans="1:22" x14ac:dyDescent="0.2">
      <c r="A121" s="3">
        <v>701600</v>
      </c>
      <c r="B121" s="3" t="s">
        <v>92</v>
      </c>
      <c r="C121" s="1">
        <v>723100</v>
      </c>
      <c r="D121" s="1" t="s">
        <v>92</v>
      </c>
      <c r="E121" s="2"/>
      <c r="F121" s="2"/>
      <c r="G121" s="2"/>
      <c r="H121" s="2">
        <v>204.26000000000002</v>
      </c>
      <c r="I121" s="2"/>
      <c r="J121" s="2"/>
      <c r="K121" s="2"/>
      <c r="L121" s="2">
        <v>112.3</v>
      </c>
      <c r="M121" s="2"/>
      <c r="N121" s="2"/>
      <c r="O121" s="2"/>
      <c r="P121" s="2"/>
      <c r="Q121" s="2"/>
      <c r="R121" s="2"/>
      <c r="S121" s="41">
        <v>25</v>
      </c>
      <c r="T121" s="41"/>
      <c r="U121" s="16">
        <f t="shared" si="19"/>
        <v>-25</v>
      </c>
      <c r="V121" s="45">
        <f t="shared" si="20"/>
        <v>-1</v>
      </c>
    </row>
    <row r="122" spans="1:22" x14ac:dyDescent="0.2">
      <c r="A122" s="3">
        <v>701601</v>
      </c>
      <c r="B122" s="3" t="s">
        <v>267</v>
      </c>
      <c r="C122" s="1">
        <v>723110</v>
      </c>
      <c r="D122" s="1" t="s">
        <v>267</v>
      </c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49">
        <v>4817.29</v>
      </c>
      <c r="R122" s="39">
        <v>1953.06</v>
      </c>
      <c r="S122" s="39"/>
      <c r="T122" s="39"/>
      <c r="U122" s="16">
        <f t="shared" si="19"/>
        <v>0</v>
      </c>
      <c r="V122" s="45" t="e">
        <f t="shared" si="20"/>
        <v>#DIV/0!</v>
      </c>
    </row>
    <row r="123" spans="1:22" x14ac:dyDescent="0.2">
      <c r="A123" s="3">
        <v>701602</v>
      </c>
      <c r="B123" s="3" t="s">
        <v>93</v>
      </c>
      <c r="C123" s="1">
        <v>723120</v>
      </c>
      <c r="D123" s="1" t="s">
        <v>93</v>
      </c>
      <c r="E123" s="2">
        <v>24065</v>
      </c>
      <c r="F123" s="2">
        <v>54686</v>
      </c>
      <c r="G123" s="2">
        <v>27702</v>
      </c>
      <c r="H123" s="2">
        <v>32438</v>
      </c>
      <c r="I123" s="2"/>
      <c r="J123" s="2"/>
      <c r="K123" s="2"/>
      <c r="L123" s="2"/>
      <c r="M123" s="2"/>
      <c r="N123" s="2"/>
      <c r="O123" s="2"/>
      <c r="P123" s="2"/>
      <c r="Q123" s="47"/>
      <c r="R123" s="47"/>
      <c r="S123" s="47"/>
      <c r="T123" s="47"/>
      <c r="U123" s="16">
        <f t="shared" si="19"/>
        <v>0</v>
      </c>
      <c r="V123" s="45" t="e">
        <f t="shared" si="20"/>
        <v>#DIV/0!</v>
      </c>
    </row>
    <row r="124" spans="1:22" x14ac:dyDescent="0.2">
      <c r="A124" s="3">
        <v>701603</v>
      </c>
      <c r="B124" s="3" t="s">
        <v>94</v>
      </c>
      <c r="C124" s="1">
        <v>723130</v>
      </c>
      <c r="D124" s="1" t="s">
        <v>94</v>
      </c>
      <c r="E124" s="2">
        <v>70229.16</v>
      </c>
      <c r="F124" s="2">
        <v>56004.36</v>
      </c>
      <c r="G124" s="2">
        <v>38086.33</v>
      </c>
      <c r="H124" s="2">
        <v>83687.66</v>
      </c>
      <c r="I124" s="2">
        <v>14768.31</v>
      </c>
      <c r="J124" s="2">
        <v>36600.080000000002</v>
      </c>
      <c r="K124" s="2">
        <v>106747.94</v>
      </c>
      <c r="L124" s="2">
        <v>74462.11</v>
      </c>
      <c r="M124" s="2">
        <v>97557.330000000016</v>
      </c>
      <c r="N124" s="42">
        <v>94855.790000000008</v>
      </c>
      <c r="O124" s="42">
        <v>93323.88</v>
      </c>
      <c r="P124" s="42">
        <v>82782.19</v>
      </c>
      <c r="Q124" s="49">
        <v>73824.929999999993</v>
      </c>
      <c r="R124" s="39">
        <v>69572.09</v>
      </c>
      <c r="S124" s="41">
        <v>68637.81</v>
      </c>
      <c r="T124" s="41">
        <v>49078.200000000004</v>
      </c>
      <c r="U124" s="16">
        <f t="shared" si="19"/>
        <v>-19559.609999999993</v>
      </c>
      <c r="V124" s="45">
        <f t="shared" si="20"/>
        <v>-0.28496844523448511</v>
      </c>
    </row>
    <row r="125" spans="1:22" x14ac:dyDescent="0.2">
      <c r="A125" s="3">
        <v>705001</v>
      </c>
      <c r="B125" s="3" t="s">
        <v>357</v>
      </c>
      <c r="C125" s="1">
        <v>731100</v>
      </c>
      <c r="D125" s="1" t="s">
        <v>188</v>
      </c>
      <c r="E125" s="2">
        <v>334.3</v>
      </c>
      <c r="F125" s="2"/>
      <c r="G125" s="2"/>
      <c r="H125" s="2"/>
      <c r="I125" s="2"/>
      <c r="J125" s="2"/>
      <c r="K125" s="2"/>
      <c r="L125" s="2"/>
      <c r="M125" s="2"/>
      <c r="N125" s="2"/>
      <c r="O125" s="42">
        <v>7.88</v>
      </c>
      <c r="P125" s="42">
        <v>73.84</v>
      </c>
      <c r="Q125" s="42"/>
      <c r="R125" s="42"/>
      <c r="S125" s="42"/>
      <c r="T125" s="42"/>
      <c r="U125" s="16">
        <f t="shared" si="19"/>
        <v>0</v>
      </c>
      <c r="V125" s="45" t="e">
        <f t="shared" si="20"/>
        <v>#DIV/0!</v>
      </c>
    </row>
    <row r="126" spans="1:22" x14ac:dyDescent="0.2">
      <c r="A126" s="3">
        <v>705101</v>
      </c>
      <c r="B126" s="3" t="s">
        <v>361</v>
      </c>
      <c r="C126" s="1">
        <v>731105</v>
      </c>
      <c r="D126" s="1" t="s">
        <v>189</v>
      </c>
      <c r="E126" s="2"/>
      <c r="F126" s="2"/>
      <c r="G126" s="2"/>
      <c r="H126" s="2">
        <v>40000</v>
      </c>
      <c r="I126" s="2"/>
      <c r="J126" s="2"/>
      <c r="K126" s="2"/>
      <c r="L126" s="2"/>
      <c r="M126" s="2"/>
      <c r="N126" s="2"/>
      <c r="O126" s="2"/>
      <c r="P126" s="2"/>
      <c r="Q126" s="49">
        <v>160</v>
      </c>
      <c r="R126" s="39">
        <v>219.75</v>
      </c>
      <c r="S126" s="39"/>
      <c r="T126" s="39"/>
      <c r="U126" s="16">
        <f t="shared" si="19"/>
        <v>0</v>
      </c>
      <c r="V126" s="45" t="e">
        <f t="shared" si="20"/>
        <v>#DIV/0!</v>
      </c>
    </row>
    <row r="127" spans="1:22" x14ac:dyDescent="0.2">
      <c r="A127" s="3">
        <v>705002</v>
      </c>
      <c r="B127" s="3" t="s">
        <v>358</v>
      </c>
      <c r="C127" s="1">
        <v>731200</v>
      </c>
      <c r="D127" s="1" t="s">
        <v>190</v>
      </c>
      <c r="E127" s="2">
        <v>1591.22</v>
      </c>
      <c r="F127" s="2"/>
      <c r="G127" s="2"/>
      <c r="H127" s="2">
        <v>99.55</v>
      </c>
      <c r="I127" s="2"/>
      <c r="J127" s="2"/>
      <c r="K127" s="2"/>
      <c r="L127" s="2"/>
      <c r="M127" s="2"/>
      <c r="N127" s="2"/>
      <c r="O127" s="2"/>
      <c r="P127" s="2"/>
      <c r="Q127" s="49">
        <v>628.02</v>
      </c>
      <c r="R127" s="49"/>
      <c r="S127" s="49"/>
      <c r="T127" s="49"/>
      <c r="U127" s="16">
        <f t="shared" si="19"/>
        <v>0</v>
      </c>
      <c r="V127" s="45" t="e">
        <f t="shared" si="20"/>
        <v>#DIV/0!</v>
      </c>
    </row>
    <row r="128" spans="1:22" x14ac:dyDescent="0.2">
      <c r="A128" s="3">
        <v>705000</v>
      </c>
      <c r="B128" s="3" t="s">
        <v>356</v>
      </c>
      <c r="C128" s="1">
        <v>732100</v>
      </c>
      <c r="D128" s="1" t="s">
        <v>96</v>
      </c>
      <c r="E128" s="2">
        <v>39197.010000000009</v>
      </c>
      <c r="F128" s="2">
        <v>42828.560000000012</v>
      </c>
      <c r="G128" s="2">
        <v>64752.78</v>
      </c>
      <c r="H128" s="2">
        <v>42475.94</v>
      </c>
      <c r="I128" s="2">
        <v>52051.040000000001</v>
      </c>
      <c r="J128" s="2">
        <v>44384.08</v>
      </c>
      <c r="K128" s="2">
        <v>49271.5</v>
      </c>
      <c r="L128" s="2">
        <v>54550.23</v>
      </c>
      <c r="M128" s="2">
        <v>45162.04</v>
      </c>
      <c r="N128" s="42">
        <v>48608.729999999996</v>
      </c>
      <c r="O128" s="42">
        <v>35991.64</v>
      </c>
      <c r="P128" s="42">
        <v>46195</v>
      </c>
      <c r="Q128" s="49">
        <v>37333.529999999992</v>
      </c>
      <c r="R128" s="39">
        <v>41576.75</v>
      </c>
      <c r="S128" s="41">
        <v>28640.080000000002</v>
      </c>
      <c r="T128" s="41">
        <v>18772.320000000003</v>
      </c>
      <c r="U128" s="16">
        <f t="shared" si="19"/>
        <v>-9867.7599999999984</v>
      </c>
      <c r="V128" s="45">
        <f t="shared" si="20"/>
        <v>-0.34454373032477553</v>
      </c>
    </row>
    <row r="129" spans="1:22" x14ac:dyDescent="0.2">
      <c r="A129" s="3">
        <v>705100</v>
      </c>
      <c r="B129" s="3" t="s">
        <v>360</v>
      </c>
      <c r="C129" s="1">
        <v>732105</v>
      </c>
      <c r="D129" s="1" t="s">
        <v>97</v>
      </c>
      <c r="E129" s="2">
        <v>305779.3</v>
      </c>
      <c r="F129" s="2">
        <v>328180.13999999996</v>
      </c>
      <c r="G129" s="2">
        <v>362045.23999999987</v>
      </c>
      <c r="H129" s="2">
        <v>293926.69999999995</v>
      </c>
      <c r="I129" s="2">
        <v>341868.79</v>
      </c>
      <c r="J129" s="2">
        <v>327115.57</v>
      </c>
      <c r="K129" s="2">
        <v>307147</v>
      </c>
      <c r="L129" s="2">
        <v>295399.03000000003</v>
      </c>
      <c r="M129" s="2">
        <v>333173.00000000006</v>
      </c>
      <c r="N129" s="42">
        <v>365992.44000000006</v>
      </c>
      <c r="O129" s="42">
        <v>372001.65</v>
      </c>
      <c r="P129" s="42">
        <v>362150.11</v>
      </c>
      <c r="Q129" s="49">
        <v>282580.05999999994</v>
      </c>
      <c r="R129" s="39">
        <v>305989.61000000004</v>
      </c>
      <c r="S129" s="41">
        <v>260032.82000000004</v>
      </c>
      <c r="T129" s="41">
        <v>5206.5600000000004</v>
      </c>
      <c r="U129" s="16">
        <f t="shared" si="19"/>
        <v>-254826.26000000004</v>
      </c>
      <c r="V129" s="45">
        <f t="shared" si="20"/>
        <v>-0.9799772967120074</v>
      </c>
    </row>
    <row r="130" spans="1:22" x14ac:dyDescent="0.2">
      <c r="A130" s="3">
        <v>705300</v>
      </c>
      <c r="B130" s="3" t="s">
        <v>98</v>
      </c>
      <c r="C130" s="1">
        <v>732110</v>
      </c>
      <c r="D130" s="1" t="s">
        <v>98</v>
      </c>
      <c r="E130" s="2">
        <v>111808.27000000002</v>
      </c>
      <c r="F130" s="2">
        <v>114862.1</v>
      </c>
      <c r="G130" s="2">
        <v>122633.28999999998</v>
      </c>
      <c r="H130" s="2">
        <v>90043.53</v>
      </c>
      <c r="I130" s="2">
        <v>52836.720000000008</v>
      </c>
      <c r="J130" s="2">
        <v>85867.87</v>
      </c>
      <c r="K130" s="2">
        <v>93178.79</v>
      </c>
      <c r="L130" s="2">
        <v>106203.75</v>
      </c>
      <c r="M130" s="2">
        <v>100996.35000000002</v>
      </c>
      <c r="N130" s="42">
        <v>97370.670000000013</v>
      </c>
      <c r="O130" s="42">
        <v>69918.340000000011</v>
      </c>
      <c r="P130" s="42">
        <v>71846.19</v>
      </c>
      <c r="Q130" s="49">
        <v>96912.35</v>
      </c>
      <c r="R130" s="39">
        <v>79533.42</v>
      </c>
      <c r="S130" s="41">
        <v>61025.91</v>
      </c>
      <c r="T130" s="41">
        <v>9189.48</v>
      </c>
      <c r="U130" s="16">
        <f t="shared" si="19"/>
        <v>-51836.430000000008</v>
      </c>
      <c r="V130" s="45">
        <f t="shared" si="20"/>
        <v>-0.84941674773878839</v>
      </c>
    </row>
    <row r="131" spans="1:22" x14ac:dyDescent="0.2">
      <c r="A131" s="3">
        <v>705500</v>
      </c>
      <c r="B131" s="3" t="s">
        <v>363</v>
      </c>
      <c r="C131" s="1">
        <v>732115</v>
      </c>
      <c r="D131" s="1" t="s">
        <v>99</v>
      </c>
      <c r="E131" s="2">
        <v>56.22</v>
      </c>
      <c r="F131" s="2"/>
      <c r="G131" s="2"/>
      <c r="H131" s="2"/>
      <c r="I131" s="2">
        <v>3319.64</v>
      </c>
      <c r="J131" s="2"/>
      <c r="K131" s="2">
        <v>324.36</v>
      </c>
      <c r="L131" s="2"/>
      <c r="M131" s="2">
        <v>234.32</v>
      </c>
      <c r="N131" s="42">
        <v>551.1</v>
      </c>
      <c r="O131" s="2"/>
      <c r="P131" s="2">
        <v>566.20000000000005</v>
      </c>
      <c r="Q131" s="2"/>
      <c r="R131" s="2"/>
      <c r="S131" s="41">
        <v>1166.79</v>
      </c>
      <c r="T131" s="41"/>
      <c r="U131" s="16">
        <f t="shared" si="19"/>
        <v>-1166.79</v>
      </c>
      <c r="V131" s="45">
        <f t="shared" si="20"/>
        <v>-1</v>
      </c>
    </row>
    <row r="132" spans="1:22" x14ac:dyDescent="0.2">
      <c r="A132" s="72">
        <v>705600</v>
      </c>
      <c r="B132" s="107" t="s">
        <v>496</v>
      </c>
      <c r="C132" s="72"/>
      <c r="D132" s="72"/>
      <c r="E132" s="2"/>
      <c r="F132" s="2"/>
      <c r="G132" s="2"/>
      <c r="H132" s="2"/>
      <c r="I132" s="2"/>
      <c r="J132" s="2"/>
      <c r="K132" s="2"/>
      <c r="L132" s="2"/>
      <c r="M132" s="2"/>
      <c r="N132" s="42"/>
      <c r="O132" s="2"/>
      <c r="P132" s="2"/>
      <c r="Q132" s="2"/>
      <c r="R132" s="2"/>
      <c r="S132" s="41"/>
      <c r="T132" s="41">
        <v>5406.3</v>
      </c>
      <c r="U132" s="16">
        <f t="shared" si="19"/>
        <v>5406.3</v>
      </c>
      <c r="V132" s="45" t="e">
        <f t="shared" si="20"/>
        <v>#DIV/0!</v>
      </c>
    </row>
    <row r="133" spans="1:22" x14ac:dyDescent="0.2">
      <c r="A133" s="3">
        <v>705003</v>
      </c>
      <c r="B133" s="3" t="s">
        <v>359</v>
      </c>
      <c r="C133" s="1">
        <v>732200</v>
      </c>
      <c r="D133" s="1" t="s">
        <v>100</v>
      </c>
      <c r="E133" s="2"/>
      <c r="F133" s="2">
        <v>5355</v>
      </c>
      <c r="G133" s="2"/>
      <c r="H133" s="2"/>
      <c r="I133" s="2">
        <v>0</v>
      </c>
      <c r="J133" s="2"/>
      <c r="K133" s="2">
        <v>7500</v>
      </c>
      <c r="L133" s="2">
        <v>3989.75</v>
      </c>
      <c r="M133" s="2"/>
      <c r="N133" s="2"/>
      <c r="O133" s="42">
        <v>2250</v>
      </c>
      <c r="P133" s="42"/>
      <c r="Q133" s="42"/>
      <c r="R133" s="42"/>
      <c r="S133" s="41">
        <v>350</v>
      </c>
      <c r="T133" s="41"/>
      <c r="U133" s="16">
        <f t="shared" si="19"/>
        <v>-350</v>
      </c>
      <c r="V133" s="45">
        <f t="shared" si="20"/>
        <v>-1</v>
      </c>
    </row>
    <row r="134" spans="1:22" x14ac:dyDescent="0.2">
      <c r="A134" s="3">
        <v>705103</v>
      </c>
      <c r="B134" s="3" t="s">
        <v>440</v>
      </c>
      <c r="C134" s="1">
        <v>732205</v>
      </c>
      <c r="D134" s="1" t="s">
        <v>101</v>
      </c>
      <c r="E134" s="2"/>
      <c r="F134" s="2"/>
      <c r="G134" s="2"/>
      <c r="H134" s="2">
        <v>2495</v>
      </c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6">
        <f t="shared" si="19"/>
        <v>0</v>
      </c>
      <c r="V134" s="45" t="e">
        <f t="shared" si="20"/>
        <v>#DIV/0!</v>
      </c>
    </row>
    <row r="135" spans="1:22" x14ac:dyDescent="0.2">
      <c r="A135" s="3">
        <v>705801</v>
      </c>
      <c r="B135" s="3" t="s">
        <v>365</v>
      </c>
      <c r="C135" s="1">
        <v>732210</v>
      </c>
      <c r="D135" s="1" t="s">
        <v>102</v>
      </c>
      <c r="E135" s="2"/>
      <c r="F135" s="2">
        <v>919.94</v>
      </c>
      <c r="G135" s="2"/>
      <c r="H135" s="2"/>
      <c r="I135" s="2">
        <v>0</v>
      </c>
      <c r="J135" s="2"/>
      <c r="K135" s="2"/>
      <c r="L135" s="2"/>
      <c r="M135" s="2"/>
      <c r="N135" s="42">
        <v>922.25</v>
      </c>
      <c r="O135" s="2"/>
      <c r="P135" s="2"/>
      <c r="Q135" s="2"/>
      <c r="R135" s="2"/>
      <c r="S135" s="2"/>
      <c r="T135" s="2"/>
      <c r="U135" s="16">
        <f t="shared" si="19"/>
        <v>0</v>
      </c>
      <c r="V135" s="45" t="e">
        <f t="shared" si="20"/>
        <v>#DIV/0!</v>
      </c>
    </row>
    <row r="136" spans="1:22" x14ac:dyDescent="0.2">
      <c r="A136" s="3">
        <v>705003</v>
      </c>
      <c r="B136" s="3" t="s">
        <v>359</v>
      </c>
      <c r="C136" s="1">
        <v>732215</v>
      </c>
      <c r="D136" s="1" t="s">
        <v>103</v>
      </c>
      <c r="E136" s="2"/>
      <c r="F136" s="2"/>
      <c r="G136" s="2"/>
      <c r="H136" s="2">
        <v>110</v>
      </c>
      <c r="I136" s="2"/>
      <c r="J136" s="2"/>
      <c r="K136" s="2">
        <v>256</v>
      </c>
      <c r="L136" s="2">
        <v>54</v>
      </c>
      <c r="M136" s="2"/>
      <c r="N136" s="43">
        <v>40</v>
      </c>
      <c r="O136" s="42">
        <v>316.5</v>
      </c>
      <c r="P136" s="42"/>
      <c r="Q136" s="42"/>
      <c r="R136" s="42"/>
      <c r="S136" s="42"/>
      <c r="T136" s="42"/>
      <c r="U136" s="16">
        <f t="shared" si="19"/>
        <v>0</v>
      </c>
      <c r="V136" s="45" t="e">
        <f t="shared" si="20"/>
        <v>#DIV/0!</v>
      </c>
    </row>
    <row r="137" spans="1:22" x14ac:dyDescent="0.2">
      <c r="A137" s="3">
        <v>705800</v>
      </c>
      <c r="B137" s="3" t="s">
        <v>364</v>
      </c>
      <c r="C137" s="1">
        <v>732300</v>
      </c>
      <c r="D137" s="1" t="s">
        <v>105</v>
      </c>
      <c r="E137" s="2"/>
      <c r="F137" s="2"/>
      <c r="G137" s="2"/>
      <c r="H137" s="2">
        <v>1017.02</v>
      </c>
      <c r="I137" s="2"/>
      <c r="J137" s="2"/>
      <c r="K137" s="2"/>
      <c r="L137" s="2"/>
      <c r="M137" s="2">
        <v>1202.8400000000001</v>
      </c>
      <c r="N137" s="43"/>
      <c r="O137" s="2"/>
      <c r="P137" s="2"/>
      <c r="Q137" s="49">
        <v>1033.46</v>
      </c>
      <c r="R137" s="39">
        <v>1087</v>
      </c>
      <c r="S137" s="41">
        <v>137.86000000000001</v>
      </c>
      <c r="T137" s="41"/>
      <c r="U137" s="16">
        <f t="shared" si="19"/>
        <v>-137.86000000000001</v>
      </c>
      <c r="V137" s="45">
        <f t="shared" si="20"/>
        <v>-1</v>
      </c>
    </row>
    <row r="138" spans="1:22" x14ac:dyDescent="0.2">
      <c r="A138" s="3">
        <v>706007</v>
      </c>
      <c r="B138" s="3" t="s">
        <v>371</v>
      </c>
      <c r="C138" s="1">
        <v>741100</v>
      </c>
      <c r="D138" s="1" t="s">
        <v>106</v>
      </c>
      <c r="E138" s="2"/>
      <c r="F138" s="2"/>
      <c r="G138" s="2"/>
      <c r="H138" s="2">
        <v>-96686.16</v>
      </c>
      <c r="I138" s="2">
        <v>1231.74</v>
      </c>
      <c r="J138" s="2"/>
      <c r="K138" s="2"/>
      <c r="L138" s="2">
        <v>26.400000000000002</v>
      </c>
      <c r="M138" s="2"/>
      <c r="N138" s="43"/>
      <c r="O138" s="2"/>
      <c r="P138" s="2"/>
      <c r="Q138" s="2"/>
      <c r="R138" s="2"/>
      <c r="S138" s="2"/>
      <c r="T138" s="2"/>
      <c r="U138" s="16">
        <f t="shared" si="19"/>
        <v>0</v>
      </c>
      <c r="V138" s="45" t="e">
        <f t="shared" si="20"/>
        <v>#DIV/0!</v>
      </c>
    </row>
    <row r="139" spans="1:22" x14ac:dyDescent="0.2">
      <c r="A139" s="3">
        <v>706000</v>
      </c>
      <c r="B139" s="3" t="s">
        <v>366</v>
      </c>
      <c r="C139" s="1">
        <v>741110</v>
      </c>
      <c r="D139" s="1" t="s">
        <v>107</v>
      </c>
      <c r="E139" s="2"/>
      <c r="F139" s="2">
        <v>267.78000000000003</v>
      </c>
      <c r="G139" s="2">
        <v>1164.18</v>
      </c>
      <c r="H139" s="2">
        <v>427.19</v>
      </c>
      <c r="I139" s="2">
        <v>233.1</v>
      </c>
      <c r="J139" s="2">
        <v>177.98</v>
      </c>
      <c r="K139" s="2">
        <v>168.93</v>
      </c>
      <c r="L139" s="2"/>
      <c r="M139" s="2"/>
      <c r="N139" s="43"/>
      <c r="O139" s="2"/>
      <c r="P139" s="2"/>
      <c r="Q139" s="2"/>
      <c r="R139" s="2"/>
      <c r="S139" s="2"/>
      <c r="T139" s="2"/>
      <c r="U139" s="16">
        <f t="shared" si="19"/>
        <v>0</v>
      </c>
      <c r="V139" s="45" t="e">
        <f t="shared" si="20"/>
        <v>#DIV/0!</v>
      </c>
    </row>
    <row r="140" spans="1:22" x14ac:dyDescent="0.2">
      <c r="A140" s="3">
        <v>706100</v>
      </c>
      <c r="B140" s="3" t="s">
        <v>372</v>
      </c>
      <c r="C140" s="1">
        <v>742120</v>
      </c>
      <c r="D140" s="1" t="s">
        <v>108</v>
      </c>
      <c r="E140" s="2">
        <v>1094.0700000000002</v>
      </c>
      <c r="F140" s="2">
        <v>922.3</v>
      </c>
      <c r="G140" s="2">
        <v>1400.5400000000002</v>
      </c>
      <c r="H140" s="2">
        <v>403.5</v>
      </c>
      <c r="I140" s="2">
        <v>245.47</v>
      </c>
      <c r="J140" s="2">
        <v>589.20000000000005</v>
      </c>
      <c r="K140" s="2">
        <v>758.88</v>
      </c>
      <c r="L140" s="2">
        <v>1041.5</v>
      </c>
      <c r="M140" s="2">
        <v>799.8599999999999</v>
      </c>
      <c r="N140" s="42">
        <v>358.29</v>
      </c>
      <c r="O140" s="42">
        <v>454.72</v>
      </c>
      <c r="P140" s="42">
        <v>1264.21</v>
      </c>
      <c r="Q140" s="49">
        <v>666.91000000000008</v>
      </c>
      <c r="R140" s="39">
        <v>629.33000000000004</v>
      </c>
      <c r="S140" s="41">
        <v>346.35</v>
      </c>
      <c r="T140" s="41">
        <v>378.1</v>
      </c>
      <c r="U140" s="16">
        <f t="shared" si="19"/>
        <v>31.75</v>
      </c>
      <c r="V140" s="45">
        <f t="shared" si="20"/>
        <v>9.1670275732640388E-2</v>
      </c>
    </row>
    <row r="141" spans="1:22" x14ac:dyDescent="0.2">
      <c r="A141" s="3">
        <v>706101</v>
      </c>
      <c r="B141" s="3" t="s">
        <v>373</v>
      </c>
      <c r="C141" s="57">
        <v>742125</v>
      </c>
      <c r="D141" s="57" t="s">
        <v>285</v>
      </c>
      <c r="E141" s="2"/>
      <c r="F141" s="2"/>
      <c r="G141" s="2"/>
      <c r="H141" s="2"/>
      <c r="I141" s="2"/>
      <c r="J141" s="2"/>
      <c r="K141" s="2"/>
      <c r="L141" s="2"/>
      <c r="M141" s="2"/>
      <c r="N141" s="42"/>
      <c r="O141" s="42">
        <v>-0.01</v>
      </c>
      <c r="P141" s="42">
        <v>0.01</v>
      </c>
      <c r="Q141" s="49">
        <v>0.01</v>
      </c>
      <c r="R141" s="49"/>
      <c r="S141" s="49"/>
      <c r="T141" s="41"/>
      <c r="U141" s="16">
        <f t="shared" si="19"/>
        <v>0</v>
      </c>
      <c r="V141" s="45" t="e">
        <f t="shared" si="20"/>
        <v>#DIV/0!</v>
      </c>
    </row>
    <row r="142" spans="1:22" x14ac:dyDescent="0.2">
      <c r="A142" s="3">
        <v>706200</v>
      </c>
      <c r="B142" s="3" t="s">
        <v>374</v>
      </c>
      <c r="C142" s="1">
        <v>743100</v>
      </c>
      <c r="D142" s="1" t="s">
        <v>109</v>
      </c>
      <c r="E142" s="2">
        <v>40773.590000000004</v>
      </c>
      <c r="F142" s="2">
        <v>8695</v>
      </c>
      <c r="G142" s="2">
        <v>131262.34</v>
      </c>
      <c r="H142" s="2">
        <v>46434.879999999997</v>
      </c>
      <c r="I142" s="2">
        <v>464</v>
      </c>
      <c r="J142" s="2">
        <v>300.89999999999998</v>
      </c>
      <c r="K142" s="2">
        <v>5662.96</v>
      </c>
      <c r="L142" s="2">
        <v>1271.74</v>
      </c>
      <c r="M142" s="2">
        <v>12126.47</v>
      </c>
      <c r="N142" s="42">
        <v>99055.540000000008</v>
      </c>
      <c r="O142" s="42">
        <v>1823.76</v>
      </c>
      <c r="P142" s="42">
        <v>335</v>
      </c>
      <c r="Q142" s="49">
        <v>376.96</v>
      </c>
      <c r="R142" s="39">
        <v>1454.69</v>
      </c>
      <c r="S142" s="41">
        <v>2624</v>
      </c>
      <c r="T142" s="41">
        <v>760.1</v>
      </c>
      <c r="U142" s="16">
        <f t="shared" si="19"/>
        <v>-1863.9</v>
      </c>
      <c r="V142" s="45">
        <f t="shared" si="20"/>
        <v>-0.71032774390243902</v>
      </c>
    </row>
    <row r="143" spans="1:22" x14ac:dyDescent="0.2">
      <c r="A143" s="3">
        <v>706200</v>
      </c>
      <c r="B143" s="3" t="s">
        <v>374</v>
      </c>
      <c r="C143" s="1">
        <v>743200</v>
      </c>
      <c r="D143" s="1" t="s">
        <v>110</v>
      </c>
      <c r="E143" s="2"/>
      <c r="F143" s="2"/>
      <c r="G143" s="2">
        <v>256</v>
      </c>
      <c r="H143" s="2">
        <v>869.5</v>
      </c>
      <c r="I143" s="2">
        <v>3550</v>
      </c>
      <c r="J143" s="2"/>
      <c r="K143" s="2">
        <v>4490</v>
      </c>
      <c r="L143" s="2">
        <v>0</v>
      </c>
      <c r="M143" s="2"/>
      <c r="N143" s="42">
        <v>48900</v>
      </c>
      <c r="O143" s="42">
        <v>8200</v>
      </c>
      <c r="P143" s="42"/>
      <c r="Q143" s="42"/>
      <c r="R143" s="42"/>
      <c r="S143" s="42"/>
      <c r="T143" s="42"/>
      <c r="U143" s="16">
        <f t="shared" si="19"/>
        <v>0</v>
      </c>
      <c r="V143" s="45" t="e">
        <f t="shared" si="20"/>
        <v>#DIV/0!</v>
      </c>
    </row>
    <row r="144" spans="1:22" x14ac:dyDescent="0.2">
      <c r="A144" s="3">
        <v>706202</v>
      </c>
      <c r="B144" s="3" t="s">
        <v>375</v>
      </c>
      <c r="C144" s="1">
        <v>743300</v>
      </c>
      <c r="D144" s="1" t="s">
        <v>111</v>
      </c>
      <c r="E144" s="2">
        <v>30321.459999999995</v>
      </c>
      <c r="F144" s="2">
        <v>22215.280000000002</v>
      </c>
      <c r="G144" s="2">
        <v>36341.49</v>
      </c>
      <c r="H144" s="2">
        <v>8252.7900000000009</v>
      </c>
      <c r="I144" s="2">
        <v>5980</v>
      </c>
      <c r="J144" s="2">
        <v>6432</v>
      </c>
      <c r="K144" s="2">
        <v>1907.26</v>
      </c>
      <c r="L144" s="2">
        <v>3456.64</v>
      </c>
      <c r="M144" s="2">
        <v>2862.27</v>
      </c>
      <c r="N144" s="42">
        <v>6656</v>
      </c>
      <c r="O144" s="42">
        <v>3626.2</v>
      </c>
      <c r="P144" s="42">
        <v>3557.9</v>
      </c>
      <c r="Q144" s="49">
        <v>3405.9300000000003</v>
      </c>
      <c r="R144" s="39">
        <v>3714.87</v>
      </c>
      <c r="S144" s="41">
        <v>3631.6800000000003</v>
      </c>
      <c r="T144" s="41"/>
      <c r="U144" s="16">
        <f t="shared" si="19"/>
        <v>-3631.6800000000003</v>
      </c>
      <c r="V144" s="45">
        <f t="shared" si="20"/>
        <v>-1</v>
      </c>
    </row>
    <row r="145" spans="1:22" x14ac:dyDescent="0.2">
      <c r="A145" s="3">
        <v>706203</v>
      </c>
      <c r="B145" s="3" t="s">
        <v>376</v>
      </c>
      <c r="C145" s="1">
        <v>743400</v>
      </c>
      <c r="D145" s="1" t="s">
        <v>112</v>
      </c>
      <c r="E145" s="2">
        <v>464</v>
      </c>
      <c r="F145" s="2">
        <v>2300</v>
      </c>
      <c r="G145" s="2">
        <v>6369.99</v>
      </c>
      <c r="H145" s="2">
        <v>24893.24</v>
      </c>
      <c r="I145" s="2">
        <v>2754.01</v>
      </c>
      <c r="J145" s="2">
        <v>5522.66</v>
      </c>
      <c r="K145" s="2">
        <v>850</v>
      </c>
      <c r="L145" s="2">
        <v>3627.28</v>
      </c>
      <c r="M145" s="2">
        <v>23137.54</v>
      </c>
      <c r="N145" s="42">
        <v>12511.300000000001</v>
      </c>
      <c r="O145" s="42">
        <v>40813.5</v>
      </c>
      <c r="P145" s="42">
        <v>20442.36</v>
      </c>
      <c r="Q145" s="42"/>
      <c r="R145" s="39">
        <v>2663.9</v>
      </c>
      <c r="S145" s="39"/>
      <c r="T145" s="41">
        <v>780</v>
      </c>
      <c r="U145" s="16">
        <f t="shared" si="19"/>
        <v>780</v>
      </c>
      <c r="V145" s="45" t="e">
        <f t="shared" si="20"/>
        <v>#DIV/0!</v>
      </c>
    </row>
    <row r="146" spans="1:22" x14ac:dyDescent="0.2">
      <c r="A146" s="3">
        <v>706204</v>
      </c>
      <c r="B146" s="3" t="s">
        <v>377</v>
      </c>
      <c r="C146" s="1">
        <v>743500</v>
      </c>
      <c r="D146" s="1" t="s">
        <v>113</v>
      </c>
      <c r="E146" s="2">
        <v>1835.65</v>
      </c>
      <c r="F146" s="2">
        <v>4681.7</v>
      </c>
      <c r="G146" s="2">
        <v>1552</v>
      </c>
      <c r="H146" s="2">
        <v>1158.43</v>
      </c>
      <c r="I146" s="2">
        <v>2039.74</v>
      </c>
      <c r="J146" s="2">
        <v>2737.24</v>
      </c>
      <c r="K146" s="2"/>
      <c r="L146" s="2"/>
      <c r="M146" s="2"/>
      <c r="N146" s="42">
        <v>4096.03</v>
      </c>
      <c r="O146" s="42">
        <v>3598.96</v>
      </c>
      <c r="P146" s="42"/>
      <c r="Q146" s="42"/>
      <c r="R146" s="39">
        <v>76.5</v>
      </c>
      <c r="S146" s="41">
        <v>82</v>
      </c>
      <c r="T146" s="41">
        <v>88</v>
      </c>
      <c r="U146" s="16">
        <f t="shared" si="19"/>
        <v>6</v>
      </c>
      <c r="V146" s="45">
        <f t="shared" si="20"/>
        <v>7.3170731707317069E-2</v>
      </c>
    </row>
    <row r="147" spans="1:22" x14ac:dyDescent="0.2">
      <c r="A147" s="3">
        <v>706300</v>
      </c>
      <c r="B147" s="3" t="s">
        <v>378</v>
      </c>
      <c r="C147" s="1">
        <v>744100</v>
      </c>
      <c r="D147" s="1" t="s">
        <v>114</v>
      </c>
      <c r="E147" s="2"/>
      <c r="F147" s="2"/>
      <c r="G147" s="2">
        <v>1612.07</v>
      </c>
      <c r="H147" s="2">
        <v>2726.25</v>
      </c>
      <c r="I147" s="2">
        <v>1497.7</v>
      </c>
      <c r="J147" s="2">
        <v>2606.35</v>
      </c>
      <c r="K147" s="2"/>
      <c r="L147" s="2">
        <v>91.850000000000009</v>
      </c>
      <c r="M147" s="2"/>
      <c r="N147" s="42">
        <v>121.57000000000001</v>
      </c>
      <c r="O147" s="42">
        <v>78.06</v>
      </c>
      <c r="P147" s="42">
        <v>480.05</v>
      </c>
      <c r="Q147" s="49">
        <v>19.48</v>
      </c>
      <c r="R147" s="49"/>
      <c r="S147" s="49"/>
      <c r="T147" s="49"/>
      <c r="U147" s="16">
        <f t="shared" si="19"/>
        <v>0</v>
      </c>
      <c r="V147" s="45" t="e">
        <f t="shared" si="20"/>
        <v>#DIV/0!</v>
      </c>
    </row>
    <row r="148" spans="1:22" x14ac:dyDescent="0.2">
      <c r="A148" s="3">
        <v>706300</v>
      </c>
      <c r="B148" s="3" t="s">
        <v>378</v>
      </c>
      <c r="C148" s="1">
        <v>744110</v>
      </c>
      <c r="D148" s="1" t="s">
        <v>115</v>
      </c>
      <c r="E148" s="2">
        <v>33809.85</v>
      </c>
      <c r="F148" s="2">
        <v>11298.01</v>
      </c>
      <c r="G148" s="2">
        <v>1814.6400000000012</v>
      </c>
      <c r="H148" s="2">
        <v>-52175.799999999996</v>
      </c>
      <c r="I148" s="2">
        <v>8988.86</v>
      </c>
      <c r="J148" s="2">
        <v>86445.85</v>
      </c>
      <c r="K148" s="2">
        <v>26612.95</v>
      </c>
      <c r="L148" s="2">
        <v>-41887.78</v>
      </c>
      <c r="M148" s="2">
        <v>-46961.720000000008</v>
      </c>
      <c r="N148" s="42">
        <v>71378.489999999991</v>
      </c>
      <c r="O148" s="42">
        <v>124499.44</v>
      </c>
      <c r="P148" s="42">
        <v>218150.66</v>
      </c>
      <c r="Q148" s="49">
        <v>118815.02999999998</v>
      </c>
      <c r="R148" s="39">
        <v>16913.400000000001</v>
      </c>
      <c r="S148" s="41">
        <v>-17495.530000000006</v>
      </c>
      <c r="T148" s="41">
        <v>13244.990000000002</v>
      </c>
      <c r="U148" s="16">
        <f t="shared" si="19"/>
        <v>30740.520000000008</v>
      </c>
      <c r="V148" s="45">
        <f t="shared" si="20"/>
        <v>-1.7570499436141687</v>
      </c>
    </row>
    <row r="149" spans="1:22" x14ac:dyDescent="0.2">
      <c r="A149" s="3">
        <v>706301</v>
      </c>
      <c r="B149" s="3" t="s">
        <v>379</v>
      </c>
      <c r="C149" s="1">
        <v>744115</v>
      </c>
      <c r="D149" s="1" t="s">
        <v>116</v>
      </c>
      <c r="E149" s="2"/>
      <c r="F149" s="2"/>
      <c r="G149" s="2">
        <v>1556.6000000000001</v>
      </c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6">
        <f t="shared" si="19"/>
        <v>0</v>
      </c>
      <c r="V149" s="45" t="e">
        <f t="shared" si="20"/>
        <v>#DIV/0!</v>
      </c>
    </row>
    <row r="150" spans="1:22" x14ac:dyDescent="0.2">
      <c r="A150" s="3">
        <v>706302</v>
      </c>
      <c r="B150" s="3" t="s">
        <v>380</v>
      </c>
      <c r="C150" s="1">
        <v>744125</v>
      </c>
      <c r="D150" s="1" t="s">
        <v>117</v>
      </c>
      <c r="E150" s="2"/>
      <c r="F150" s="2"/>
      <c r="G150" s="2"/>
      <c r="H150" s="2">
        <v>70</v>
      </c>
      <c r="I150" s="2">
        <v>87.5</v>
      </c>
      <c r="J150" s="2"/>
      <c r="K150" s="2">
        <v>127.93</v>
      </c>
      <c r="L150" s="2">
        <v>50</v>
      </c>
      <c r="M150" s="2">
        <v>68.5</v>
      </c>
      <c r="N150" s="2"/>
      <c r="O150" s="2"/>
      <c r="P150" s="2"/>
      <c r="Q150" s="2"/>
      <c r="R150" s="2"/>
      <c r="S150" s="2"/>
      <c r="T150" s="2"/>
      <c r="U150" s="16">
        <f t="shared" si="19"/>
        <v>0</v>
      </c>
      <c r="V150" s="45" t="e">
        <f t="shared" si="20"/>
        <v>#DIV/0!</v>
      </c>
    </row>
    <row r="151" spans="1:22" x14ac:dyDescent="0.2">
      <c r="A151" s="3">
        <v>706400</v>
      </c>
      <c r="B151" s="3" t="s">
        <v>381</v>
      </c>
      <c r="C151" s="1">
        <v>744135</v>
      </c>
      <c r="D151" s="1" t="s">
        <v>119</v>
      </c>
      <c r="E151" s="2"/>
      <c r="F151" s="2"/>
      <c r="G151" s="2"/>
      <c r="H151" s="2">
        <v>800</v>
      </c>
      <c r="I151" s="2">
        <v>745.25</v>
      </c>
      <c r="J151" s="2">
        <v>2317.23</v>
      </c>
      <c r="K151" s="2"/>
      <c r="L151" s="2"/>
      <c r="M151" s="2"/>
      <c r="N151" s="2"/>
      <c r="O151" s="42">
        <v>35.800000000000004</v>
      </c>
      <c r="P151" s="42">
        <v>1199.6099999999999</v>
      </c>
      <c r="Q151" s="42"/>
      <c r="R151" s="42"/>
      <c r="S151" s="41">
        <v>6940</v>
      </c>
      <c r="T151" s="41"/>
      <c r="U151" s="16">
        <f t="shared" si="19"/>
        <v>-6940</v>
      </c>
      <c r="V151" s="45">
        <f t="shared" si="20"/>
        <v>-1</v>
      </c>
    </row>
    <row r="152" spans="1:22" x14ac:dyDescent="0.2">
      <c r="A152" s="3">
        <v>706504</v>
      </c>
      <c r="B152" s="3" t="s">
        <v>385</v>
      </c>
      <c r="C152" s="1">
        <v>744140</v>
      </c>
      <c r="D152" s="1" t="s">
        <v>120</v>
      </c>
      <c r="E152" s="2"/>
      <c r="F152" s="2"/>
      <c r="G152" s="2"/>
      <c r="H152" s="2"/>
      <c r="I152" s="2"/>
      <c r="J152" s="2"/>
      <c r="K152" s="2">
        <v>35</v>
      </c>
      <c r="L152" s="2">
        <v>98</v>
      </c>
      <c r="M152" s="2">
        <v>1460</v>
      </c>
      <c r="N152" s="42">
        <v>986.72</v>
      </c>
      <c r="O152" s="42">
        <v>10000</v>
      </c>
      <c r="P152" s="42"/>
      <c r="Q152" s="49">
        <v>1767.5</v>
      </c>
      <c r="R152" s="49"/>
      <c r="S152" s="41">
        <v>1545</v>
      </c>
      <c r="T152" s="41"/>
      <c r="U152" s="16">
        <f t="shared" si="19"/>
        <v>-1545</v>
      </c>
      <c r="V152" s="45">
        <f t="shared" si="20"/>
        <v>-1</v>
      </c>
    </row>
    <row r="153" spans="1:22" x14ac:dyDescent="0.2">
      <c r="A153" s="3">
        <v>706700</v>
      </c>
      <c r="B153" s="3" t="s">
        <v>390</v>
      </c>
      <c r="C153" s="1">
        <v>745100</v>
      </c>
      <c r="D153" s="1" t="s">
        <v>121</v>
      </c>
      <c r="E153" s="2"/>
      <c r="F153" s="2"/>
      <c r="G153" s="2">
        <v>35</v>
      </c>
      <c r="H153" s="2">
        <v>48</v>
      </c>
      <c r="I153" s="2">
        <v>38</v>
      </c>
      <c r="J153" s="2">
        <v>47.7</v>
      </c>
      <c r="K153" s="2">
        <v>45</v>
      </c>
      <c r="L153" s="2">
        <v>350</v>
      </c>
      <c r="M153" s="2"/>
      <c r="N153" s="43"/>
      <c r="O153" s="42">
        <v>291.61</v>
      </c>
      <c r="P153" s="42"/>
      <c r="Q153" s="42"/>
      <c r="R153" s="42"/>
      <c r="S153" s="42"/>
      <c r="T153" s="42"/>
      <c r="U153" s="16">
        <f t="shared" si="19"/>
        <v>0</v>
      </c>
      <c r="V153" s="45" t="e">
        <f t="shared" si="20"/>
        <v>#DIV/0!</v>
      </c>
    </row>
    <row r="154" spans="1:22" x14ac:dyDescent="0.2">
      <c r="A154" s="3">
        <v>706700</v>
      </c>
      <c r="B154" s="3" t="s">
        <v>390</v>
      </c>
      <c r="C154" s="1">
        <v>745101</v>
      </c>
      <c r="D154" s="1" t="s">
        <v>191</v>
      </c>
      <c r="E154" s="2"/>
      <c r="F154" s="2">
        <v>600</v>
      </c>
      <c r="G154" s="2"/>
      <c r="H154" s="2"/>
      <c r="I154" s="2"/>
      <c r="J154" s="2"/>
      <c r="K154" s="2"/>
      <c r="L154" s="2"/>
      <c r="M154" s="2">
        <v>450</v>
      </c>
      <c r="N154" s="43"/>
      <c r="O154" s="2"/>
      <c r="P154" s="2"/>
      <c r="Q154" s="2"/>
      <c r="R154" s="2"/>
      <c r="S154" s="2"/>
      <c r="T154" s="2"/>
      <c r="U154" s="16">
        <f t="shared" si="19"/>
        <v>0</v>
      </c>
      <c r="V154" s="45" t="e">
        <f t="shared" si="20"/>
        <v>#DIV/0!</v>
      </c>
    </row>
    <row r="155" spans="1:22" x14ac:dyDescent="0.2">
      <c r="A155">
        <v>706602</v>
      </c>
      <c r="B155" t="s">
        <v>388</v>
      </c>
      <c r="C155" s="37">
        <v>741105</v>
      </c>
      <c r="D155" s="1"/>
      <c r="E155" s="2"/>
      <c r="F155" s="2"/>
      <c r="G155" s="2"/>
      <c r="H155" s="2"/>
      <c r="I155" s="2"/>
      <c r="J155" s="2"/>
      <c r="K155" s="2"/>
      <c r="L155" s="2"/>
      <c r="M155" s="2"/>
      <c r="N155" s="43"/>
      <c r="O155" s="2"/>
      <c r="P155" s="2"/>
      <c r="Q155" s="2"/>
      <c r="R155" s="39">
        <v>3150</v>
      </c>
      <c r="S155" s="39"/>
      <c r="T155" s="39"/>
      <c r="U155" s="16">
        <f t="shared" ref="U155:U218" si="21">T155-S155</f>
        <v>0</v>
      </c>
      <c r="V155" s="45" t="e">
        <f t="shared" ref="V155:V218" si="22">U155/S155</f>
        <v>#DIV/0!</v>
      </c>
    </row>
    <row r="156" spans="1:22" x14ac:dyDescent="0.2">
      <c r="A156" s="3">
        <v>706605</v>
      </c>
      <c r="B156" s="3" t="s">
        <v>389</v>
      </c>
      <c r="C156" s="1">
        <v>745105</v>
      </c>
      <c r="D156" s="1" t="s">
        <v>122</v>
      </c>
      <c r="E156" s="2">
        <v>31449.640000000003</v>
      </c>
      <c r="F156" s="2">
        <v>48059.29</v>
      </c>
      <c r="G156" s="2">
        <v>164240.59999999998</v>
      </c>
      <c r="H156" s="2">
        <v>222283.55</v>
      </c>
      <c r="I156" s="2">
        <v>68200.289999999994</v>
      </c>
      <c r="J156" s="2">
        <v>56585.89</v>
      </c>
      <c r="K156" s="2">
        <v>80703.17</v>
      </c>
      <c r="L156" s="2">
        <v>78027.490000000005</v>
      </c>
      <c r="M156" s="2">
        <v>67575.740000000005</v>
      </c>
      <c r="N156" s="42">
        <v>105339.07999999999</v>
      </c>
      <c r="O156" s="42">
        <v>123969.08</v>
      </c>
      <c r="P156" s="42">
        <v>36938.92</v>
      </c>
      <c r="Q156" s="49">
        <v>40925.630000000005</v>
      </c>
      <c r="R156" s="39">
        <v>40163.68</v>
      </c>
      <c r="S156" s="41">
        <v>26520.04</v>
      </c>
      <c r="T156" s="41">
        <v>8013.8900000000012</v>
      </c>
      <c r="U156" s="16">
        <f t="shared" si="21"/>
        <v>-18506.150000000001</v>
      </c>
      <c r="V156" s="45">
        <f t="shared" si="22"/>
        <v>-0.69781757493578445</v>
      </c>
    </row>
    <row r="157" spans="1:22" x14ac:dyDescent="0.2">
      <c r="A157" s="3">
        <v>706605</v>
      </c>
      <c r="B157" s="3" t="s">
        <v>389</v>
      </c>
      <c r="C157" s="1">
        <v>745110</v>
      </c>
      <c r="D157" s="1" t="s">
        <v>123</v>
      </c>
      <c r="E157" s="2"/>
      <c r="F157" s="2">
        <v>212.5</v>
      </c>
      <c r="G157" s="2">
        <v>312.74</v>
      </c>
      <c r="H157" s="2">
        <v>-38304.25</v>
      </c>
      <c r="I157" s="2">
        <v>813</v>
      </c>
      <c r="J157" s="2">
        <v>455.5</v>
      </c>
      <c r="K157" s="2">
        <v>240.27</v>
      </c>
      <c r="L157" s="2"/>
      <c r="M157" s="2">
        <v>1045.8899999999999</v>
      </c>
      <c r="N157" s="42">
        <v>203.89000000000001</v>
      </c>
      <c r="O157" s="42">
        <v>382.35</v>
      </c>
      <c r="P157" s="42"/>
      <c r="Q157" s="42"/>
      <c r="R157" s="42"/>
      <c r="S157" s="42"/>
      <c r="T157" s="42"/>
      <c r="U157" s="16">
        <f t="shared" si="21"/>
        <v>0</v>
      </c>
      <c r="V157" s="45" t="e">
        <f t="shared" si="22"/>
        <v>#DIV/0!</v>
      </c>
    </row>
    <row r="158" spans="1:22" x14ac:dyDescent="0.2">
      <c r="A158" s="3">
        <v>706600</v>
      </c>
      <c r="B158" s="3" t="s">
        <v>386</v>
      </c>
      <c r="C158" s="1">
        <v>745120</v>
      </c>
      <c r="D158" s="1" t="s">
        <v>192</v>
      </c>
      <c r="E158" s="2"/>
      <c r="F158" s="2"/>
      <c r="G158" s="2"/>
      <c r="H158" s="2"/>
      <c r="I158" s="2"/>
      <c r="J158" s="2">
        <v>0</v>
      </c>
      <c r="K158" s="2"/>
      <c r="L158" s="2"/>
      <c r="M158" s="2"/>
      <c r="N158" s="42">
        <v>9500</v>
      </c>
      <c r="O158" s="2"/>
      <c r="P158" s="2"/>
      <c r="Q158" s="2"/>
      <c r="R158" s="2"/>
      <c r="S158" s="2"/>
      <c r="T158" s="2"/>
      <c r="U158" s="16">
        <f t="shared" si="21"/>
        <v>0</v>
      </c>
      <c r="V158" s="45" t="e">
        <f t="shared" si="22"/>
        <v>#DIV/0!</v>
      </c>
    </row>
    <row r="159" spans="1:22" x14ac:dyDescent="0.2">
      <c r="A159" s="3">
        <v>701304</v>
      </c>
      <c r="B159" s="3" t="s">
        <v>193</v>
      </c>
      <c r="C159" s="1">
        <v>745130</v>
      </c>
      <c r="D159" s="1" t="s">
        <v>193</v>
      </c>
      <c r="E159" s="2"/>
      <c r="F159" s="2"/>
      <c r="G159" s="2"/>
      <c r="H159" s="2"/>
      <c r="I159" s="2"/>
      <c r="J159" s="2">
        <v>68500</v>
      </c>
      <c r="K159" s="2">
        <v>0</v>
      </c>
      <c r="L159" s="2"/>
      <c r="M159" s="2"/>
      <c r="N159" s="2"/>
      <c r="O159" s="2"/>
      <c r="P159" s="2"/>
      <c r="Q159" s="2"/>
      <c r="R159" s="2"/>
      <c r="S159" s="2"/>
      <c r="T159" s="2"/>
      <c r="U159" s="16">
        <f t="shared" si="21"/>
        <v>0</v>
      </c>
      <c r="V159" s="45" t="e">
        <f t="shared" si="22"/>
        <v>#DIV/0!</v>
      </c>
    </row>
    <row r="160" spans="1:22" x14ac:dyDescent="0.2">
      <c r="A160" s="3">
        <v>707001</v>
      </c>
      <c r="B160" s="3" t="s">
        <v>392</v>
      </c>
      <c r="C160" s="1">
        <v>751100</v>
      </c>
      <c r="D160" s="1" t="s">
        <v>125</v>
      </c>
      <c r="E160" s="2">
        <v>39624.080000000002</v>
      </c>
      <c r="F160" s="2">
        <v>7854.46</v>
      </c>
      <c r="G160" s="2">
        <v>154982.26</v>
      </c>
      <c r="H160" s="2">
        <v>256793</v>
      </c>
      <c r="I160" s="2">
        <v>5972</v>
      </c>
      <c r="J160" s="2">
        <v>8154.5599999999995</v>
      </c>
      <c r="K160" s="2">
        <v>20899.23</v>
      </c>
      <c r="L160" s="2">
        <v>995</v>
      </c>
      <c r="M160" s="2">
        <v>7831</v>
      </c>
      <c r="N160" s="42">
        <v>1197</v>
      </c>
      <c r="O160" s="42">
        <v>12012.11</v>
      </c>
      <c r="P160" s="42">
        <v>4401.75</v>
      </c>
      <c r="Q160" s="49">
        <v>37554.33</v>
      </c>
      <c r="R160" s="39">
        <v>123441.42</v>
      </c>
      <c r="S160" s="41">
        <v>162196.48000000001</v>
      </c>
      <c r="T160" s="41">
        <v>120902.08</v>
      </c>
      <c r="U160" s="16">
        <f t="shared" si="21"/>
        <v>-41294.400000000009</v>
      </c>
      <c r="V160" s="45">
        <f t="shared" si="22"/>
        <v>-0.25459492092553432</v>
      </c>
    </row>
    <row r="161" spans="1:22" x14ac:dyDescent="0.2">
      <c r="A161" s="3">
        <v>707002</v>
      </c>
      <c r="B161" s="3" t="s">
        <v>393</v>
      </c>
      <c r="C161" s="1">
        <v>751105</v>
      </c>
      <c r="D161" s="1" t="s">
        <v>194</v>
      </c>
      <c r="E161" s="2"/>
      <c r="F161" s="2">
        <v>1000</v>
      </c>
      <c r="G161" s="2"/>
      <c r="H161" s="2"/>
      <c r="I161" s="2"/>
      <c r="J161" s="2"/>
      <c r="K161" s="2"/>
      <c r="L161" s="2"/>
      <c r="M161" s="2"/>
      <c r="N161" s="43"/>
      <c r="O161" s="2"/>
      <c r="P161" s="2"/>
      <c r="Q161" s="2"/>
      <c r="R161" s="2"/>
      <c r="S161" s="2"/>
      <c r="T161" s="2"/>
      <c r="U161" s="16">
        <f t="shared" si="21"/>
        <v>0</v>
      </c>
      <c r="V161" s="45" t="e">
        <f t="shared" si="22"/>
        <v>#DIV/0!</v>
      </c>
    </row>
    <row r="162" spans="1:22" x14ac:dyDescent="0.2">
      <c r="A162" s="3">
        <v>707000</v>
      </c>
      <c r="B162" s="3" t="s">
        <v>391</v>
      </c>
      <c r="C162" s="1">
        <v>751110</v>
      </c>
      <c r="D162" s="1" t="s">
        <v>126</v>
      </c>
      <c r="E162" s="2">
        <v>15059.32</v>
      </c>
      <c r="F162" s="2">
        <v>20645.400000000001</v>
      </c>
      <c r="G162" s="2">
        <v>19373.890000000003</v>
      </c>
      <c r="H162" s="2">
        <v>42097.91</v>
      </c>
      <c r="I162" s="2">
        <v>40780.99</v>
      </c>
      <c r="J162" s="2">
        <v>41779.11</v>
      </c>
      <c r="K162" s="2">
        <v>20926.100000000002</v>
      </c>
      <c r="L162" s="2">
        <v>14563.83</v>
      </c>
      <c r="M162" s="2">
        <v>17412.509999999998</v>
      </c>
      <c r="N162" s="42">
        <v>56124.049999999996</v>
      </c>
      <c r="O162" s="42">
        <v>27946.870000000003</v>
      </c>
      <c r="P162" s="42">
        <v>18680.45</v>
      </c>
      <c r="Q162" s="49">
        <v>16117.51</v>
      </c>
      <c r="R162" s="39">
        <v>13095.27</v>
      </c>
      <c r="S162" s="41">
        <v>12969.16</v>
      </c>
      <c r="T162" s="41">
        <v>19254.649999999998</v>
      </c>
      <c r="U162" s="16">
        <f t="shared" si="21"/>
        <v>6285.489999999998</v>
      </c>
      <c r="V162" s="45">
        <f t="shared" si="22"/>
        <v>0.48464896724228845</v>
      </c>
    </row>
    <row r="163" spans="1:22" x14ac:dyDescent="0.2">
      <c r="A163" s="3">
        <v>707101</v>
      </c>
      <c r="B163" s="3" t="s">
        <v>395</v>
      </c>
      <c r="C163" s="1">
        <v>752100</v>
      </c>
      <c r="D163" s="1" t="s">
        <v>127</v>
      </c>
      <c r="E163" s="2">
        <v>44676.83</v>
      </c>
      <c r="F163" s="2">
        <v>122680.72</v>
      </c>
      <c r="G163" s="2">
        <v>78246.63</v>
      </c>
      <c r="H163" s="2">
        <v>120884.09999999999</v>
      </c>
      <c r="I163" s="2">
        <v>35934.53</v>
      </c>
      <c r="J163" s="2">
        <v>32549.41</v>
      </c>
      <c r="K163" s="2">
        <v>36183.06</v>
      </c>
      <c r="L163" s="2">
        <v>118279.53</v>
      </c>
      <c r="M163" s="2">
        <v>108950</v>
      </c>
      <c r="N163" s="42">
        <v>144466.18</v>
      </c>
      <c r="O163" s="42">
        <v>114634.14</v>
      </c>
      <c r="P163" s="42">
        <v>151579.18</v>
      </c>
      <c r="Q163" s="49">
        <v>108654.08</v>
      </c>
      <c r="R163" s="39">
        <v>210465.97999999998</v>
      </c>
      <c r="S163" s="41">
        <v>225705.48</v>
      </c>
      <c r="T163" s="41">
        <v>235354.78</v>
      </c>
      <c r="U163" s="16">
        <f t="shared" si="21"/>
        <v>9649.2999999999884</v>
      </c>
      <c r="V163" s="45">
        <f t="shared" si="22"/>
        <v>4.2751731149815182E-2</v>
      </c>
    </row>
    <row r="164" spans="1:22" x14ac:dyDescent="0.2">
      <c r="A164" s="3">
        <v>707100</v>
      </c>
      <c r="B164" s="3" t="s">
        <v>394</v>
      </c>
      <c r="C164" s="1">
        <v>752105</v>
      </c>
      <c r="D164" s="1" t="s">
        <v>128</v>
      </c>
      <c r="E164" s="2">
        <v>8880</v>
      </c>
      <c r="F164" s="2">
        <v>16946.3</v>
      </c>
      <c r="G164" s="2">
        <v>39509.480000000003</v>
      </c>
      <c r="H164" s="2">
        <v>42331.55</v>
      </c>
      <c r="I164" s="2">
        <v>61436.480000000003</v>
      </c>
      <c r="J164" s="2">
        <v>61292.88</v>
      </c>
      <c r="K164" s="2">
        <v>39409.800000000003</v>
      </c>
      <c r="L164" s="2">
        <v>97351.99</v>
      </c>
      <c r="M164" s="2">
        <v>150843.29</v>
      </c>
      <c r="N164" s="51">
        <v>125960.92</v>
      </c>
      <c r="O164" s="42">
        <v>135674.81</v>
      </c>
      <c r="P164" s="42">
        <v>151068.04999999999</v>
      </c>
      <c r="Q164" s="49">
        <v>117936.61</v>
      </c>
      <c r="R164" s="39">
        <v>60127.850000000006</v>
      </c>
      <c r="S164" s="41">
        <v>56828.91</v>
      </c>
      <c r="T164" s="41">
        <v>29903.980000000003</v>
      </c>
      <c r="U164" s="16">
        <f t="shared" si="21"/>
        <v>-26924.93</v>
      </c>
      <c r="V164" s="45">
        <f t="shared" si="22"/>
        <v>-0.47378930899783223</v>
      </c>
    </row>
    <row r="165" spans="1:22" x14ac:dyDescent="0.2">
      <c r="A165" s="3">
        <v>707100</v>
      </c>
      <c r="B165" s="3" t="s">
        <v>394</v>
      </c>
      <c r="C165" s="1">
        <v>752110</v>
      </c>
      <c r="D165" s="1" t="s">
        <v>129</v>
      </c>
      <c r="E165" s="2">
        <v>1560</v>
      </c>
      <c r="F165" s="2">
        <v>938</v>
      </c>
      <c r="G165" s="2">
        <v>393.20000000000005</v>
      </c>
      <c r="H165" s="2">
        <v>4020</v>
      </c>
      <c r="I165" s="2"/>
      <c r="J165" s="2"/>
      <c r="K165" s="2">
        <v>625</v>
      </c>
      <c r="L165" s="2">
        <v>625</v>
      </c>
      <c r="M165" s="2">
        <v>10025.83</v>
      </c>
      <c r="N165" s="62">
        <v>625</v>
      </c>
      <c r="O165" s="42">
        <v>63433.79</v>
      </c>
      <c r="P165" s="42">
        <v>34437.910000000003</v>
      </c>
      <c r="Q165" s="49">
        <v>30714.560000000001</v>
      </c>
      <c r="R165" s="49"/>
      <c r="S165" s="49"/>
      <c r="T165" s="49"/>
      <c r="U165" s="16">
        <f t="shared" si="21"/>
        <v>0</v>
      </c>
      <c r="V165" s="45" t="e">
        <f t="shared" si="22"/>
        <v>#DIV/0!</v>
      </c>
    </row>
    <row r="166" spans="1:22" x14ac:dyDescent="0.2">
      <c r="A166" s="3">
        <v>707101</v>
      </c>
      <c r="B166" s="3" t="s">
        <v>395</v>
      </c>
      <c r="C166" s="1">
        <v>752115</v>
      </c>
      <c r="D166" s="1" t="s">
        <v>130</v>
      </c>
      <c r="E166" s="2">
        <v>14087</v>
      </c>
      <c r="F166" s="2">
        <v>24293.93</v>
      </c>
      <c r="G166" s="2">
        <v>21045.68</v>
      </c>
      <c r="H166" s="2">
        <v>224292.25</v>
      </c>
      <c r="I166" s="2">
        <v>18179.86</v>
      </c>
      <c r="J166" s="2">
        <v>10686.93</v>
      </c>
      <c r="K166" s="2">
        <v>19945.05</v>
      </c>
      <c r="L166" s="2">
        <v>23917.42</v>
      </c>
      <c r="M166" s="2">
        <v>22783.190000000002</v>
      </c>
      <c r="N166" s="42">
        <v>15477.5</v>
      </c>
      <c r="O166" s="42">
        <v>19383.390000000003</v>
      </c>
      <c r="P166" s="42">
        <v>3620.85</v>
      </c>
      <c r="Q166" s="49">
        <v>7900.68</v>
      </c>
      <c r="R166" s="49"/>
      <c r="S166" s="49"/>
      <c r="T166" s="49"/>
      <c r="U166" s="16">
        <f t="shared" si="21"/>
        <v>0</v>
      </c>
      <c r="V166" s="45" t="e">
        <f t="shared" si="22"/>
        <v>#DIV/0!</v>
      </c>
    </row>
    <row r="167" spans="1:22" x14ac:dyDescent="0.2">
      <c r="A167" s="3">
        <v>707153</v>
      </c>
      <c r="B167" s="3" t="s">
        <v>399</v>
      </c>
      <c r="C167" s="1">
        <v>753100</v>
      </c>
      <c r="D167" s="1" t="s">
        <v>131</v>
      </c>
      <c r="E167" s="2">
        <v>66205.09</v>
      </c>
      <c r="F167" s="2">
        <v>86884.86</v>
      </c>
      <c r="G167" s="2">
        <v>84333.36</v>
      </c>
      <c r="H167" s="2">
        <v>278451.05</v>
      </c>
      <c r="I167" s="2">
        <v>26696.67</v>
      </c>
      <c r="J167" s="2">
        <v>55679.16</v>
      </c>
      <c r="K167" s="2">
        <v>2133.3000000000002</v>
      </c>
      <c r="L167" s="2">
        <v>4218.24</v>
      </c>
      <c r="M167" s="2">
        <v>8996.9</v>
      </c>
      <c r="N167" s="42">
        <v>18903.45</v>
      </c>
      <c r="O167" s="42">
        <v>11243.01</v>
      </c>
      <c r="P167" s="42">
        <v>12064.66</v>
      </c>
      <c r="Q167" s="49">
        <v>2133.0500000000002</v>
      </c>
      <c r="R167" s="39">
        <v>3113.52</v>
      </c>
      <c r="S167" s="41">
        <v>1482.49</v>
      </c>
      <c r="T167" s="41">
        <v>6252.9500000000007</v>
      </c>
      <c r="U167" s="16">
        <f t="shared" si="21"/>
        <v>4770.4600000000009</v>
      </c>
      <c r="V167" s="45">
        <f t="shared" si="22"/>
        <v>3.2178699350417208</v>
      </c>
    </row>
    <row r="168" spans="1:22" x14ac:dyDescent="0.2">
      <c r="A168" s="3">
        <v>707001</v>
      </c>
      <c r="B168" s="3" t="s">
        <v>392</v>
      </c>
      <c r="C168" s="1">
        <v>761100</v>
      </c>
      <c r="D168" s="1" t="s">
        <v>132</v>
      </c>
      <c r="E168" s="2">
        <v>439</v>
      </c>
      <c r="F168" s="2"/>
      <c r="G168" s="2">
        <v>878</v>
      </c>
      <c r="H168" s="2"/>
      <c r="I168" s="2">
        <v>439</v>
      </c>
      <c r="J168" s="2">
        <v>439.99</v>
      </c>
      <c r="K168" s="2">
        <v>439</v>
      </c>
      <c r="L168" s="2">
        <v>878</v>
      </c>
      <c r="M168" s="2">
        <v>439</v>
      </c>
      <c r="N168" s="42">
        <v>1317</v>
      </c>
      <c r="O168" s="2"/>
      <c r="P168" s="2"/>
      <c r="Q168" s="2"/>
      <c r="R168" s="2"/>
      <c r="S168" s="2"/>
      <c r="T168" s="2"/>
      <c r="U168" s="16">
        <f t="shared" si="21"/>
        <v>0</v>
      </c>
      <c r="V168" s="45" t="e">
        <f t="shared" si="22"/>
        <v>#DIV/0!</v>
      </c>
    </row>
    <row r="169" spans="1:22" x14ac:dyDescent="0.2">
      <c r="A169" s="3">
        <v>707001</v>
      </c>
      <c r="B169" s="3" t="s">
        <v>392</v>
      </c>
      <c r="C169" s="1">
        <v>761104</v>
      </c>
      <c r="D169" s="1" t="s">
        <v>133</v>
      </c>
      <c r="E169" s="2"/>
      <c r="F169" s="2"/>
      <c r="G169" s="2">
        <v>379.98</v>
      </c>
      <c r="H169" s="2">
        <v>149.99</v>
      </c>
      <c r="I169" s="2"/>
      <c r="J169" s="2"/>
      <c r="K169" s="2"/>
      <c r="L169" s="2">
        <v>1499.96</v>
      </c>
      <c r="M169" s="2">
        <v>399.97</v>
      </c>
      <c r="N169" s="42">
        <v>249.98000000000002</v>
      </c>
      <c r="O169" s="42">
        <v>652.97</v>
      </c>
      <c r="P169" s="42">
        <v>79.97</v>
      </c>
      <c r="Q169" s="42"/>
      <c r="R169" s="42"/>
      <c r="S169" s="42"/>
      <c r="T169" s="42"/>
      <c r="U169" s="16">
        <f t="shared" si="21"/>
        <v>0</v>
      </c>
      <c r="V169" s="45" t="e">
        <f t="shared" si="22"/>
        <v>#DIV/0!</v>
      </c>
    </row>
    <row r="170" spans="1:22" x14ac:dyDescent="0.2">
      <c r="A170" s="3">
        <v>707151</v>
      </c>
      <c r="B170" s="3" t="s">
        <v>397</v>
      </c>
      <c r="C170" s="1">
        <v>761105</v>
      </c>
      <c r="D170" s="1" t="s">
        <v>195</v>
      </c>
      <c r="E170" s="2"/>
      <c r="F170" s="2"/>
      <c r="G170" s="2"/>
      <c r="H170" s="2"/>
      <c r="I170" s="2"/>
      <c r="J170" s="2"/>
      <c r="K170" s="2">
        <v>8136.9000000000005</v>
      </c>
      <c r="L170" s="2"/>
      <c r="M170" s="2"/>
      <c r="N170" s="43"/>
      <c r="O170" s="2"/>
      <c r="P170" s="2"/>
      <c r="Q170" s="2"/>
      <c r="R170" s="2"/>
      <c r="S170" s="2"/>
      <c r="T170" s="2"/>
      <c r="U170" s="16">
        <f t="shared" si="21"/>
        <v>0</v>
      </c>
      <c r="V170" s="45" t="e">
        <f t="shared" si="22"/>
        <v>#DIV/0!</v>
      </c>
    </row>
    <row r="171" spans="1:22" x14ac:dyDescent="0.2">
      <c r="A171" s="3">
        <v>707150</v>
      </c>
      <c r="B171" s="3" t="s">
        <v>396</v>
      </c>
      <c r="C171" s="1">
        <v>763105</v>
      </c>
      <c r="D171" s="1" t="s">
        <v>134</v>
      </c>
      <c r="E171" s="2">
        <v>2468.81</v>
      </c>
      <c r="F171" s="2">
        <v>18198.960000000003</v>
      </c>
      <c r="G171" s="2">
        <v>10616.810000000001</v>
      </c>
      <c r="H171" s="2">
        <v>8743.6</v>
      </c>
      <c r="I171" s="2">
        <v>36837.589999999997</v>
      </c>
      <c r="J171" s="2">
        <v>4789.84</v>
      </c>
      <c r="K171" s="2">
        <v>18397.21</v>
      </c>
      <c r="L171" s="2">
        <v>44397.91</v>
      </c>
      <c r="M171" s="2">
        <v>11698.79</v>
      </c>
      <c r="N171" s="42">
        <v>3041.46</v>
      </c>
      <c r="O171" s="42">
        <v>4604.1900000000005</v>
      </c>
      <c r="P171" s="42"/>
      <c r="Q171" s="49">
        <v>699.72</v>
      </c>
      <c r="R171" s="49"/>
      <c r="S171" s="41">
        <v>4186.1000000000004</v>
      </c>
      <c r="T171" s="41">
        <v>354.04</v>
      </c>
      <c r="U171" s="16">
        <f t="shared" si="21"/>
        <v>-3832.0600000000004</v>
      </c>
      <c r="V171" s="45">
        <f t="shared" si="22"/>
        <v>-0.91542485846014188</v>
      </c>
    </row>
    <row r="172" spans="1:22" x14ac:dyDescent="0.2">
      <c r="A172" s="3">
        <v>707153</v>
      </c>
      <c r="B172" s="3" t="s">
        <v>399</v>
      </c>
      <c r="C172" s="1">
        <v>764100</v>
      </c>
      <c r="D172" s="1" t="s">
        <v>135</v>
      </c>
      <c r="E172" s="2">
        <v>1456.23</v>
      </c>
      <c r="F172" s="2">
        <v>1370.2</v>
      </c>
      <c r="G172" s="2">
        <v>609.47</v>
      </c>
      <c r="H172" s="2">
        <v>1090.92</v>
      </c>
      <c r="I172" s="2">
        <v>538.90000000000009</v>
      </c>
      <c r="J172" s="2">
        <v>752.81000000000006</v>
      </c>
      <c r="K172" s="2">
        <v>337.97</v>
      </c>
      <c r="L172" s="2">
        <v>428</v>
      </c>
      <c r="M172" s="2">
        <v>399.99</v>
      </c>
      <c r="N172" s="42">
        <v>440</v>
      </c>
      <c r="O172" s="42"/>
      <c r="P172" s="42"/>
      <c r="Q172" s="42"/>
      <c r="R172" s="42"/>
      <c r="S172" s="42"/>
      <c r="T172" s="41"/>
      <c r="U172" s="16">
        <f t="shared" si="21"/>
        <v>0</v>
      </c>
      <c r="V172" s="45" t="e">
        <f t="shared" si="22"/>
        <v>#DIV/0!</v>
      </c>
    </row>
    <row r="173" spans="1:22" x14ac:dyDescent="0.2">
      <c r="A173" s="3">
        <v>707152</v>
      </c>
      <c r="B173" s="3" t="s">
        <v>398</v>
      </c>
      <c r="C173" s="1">
        <v>764104</v>
      </c>
      <c r="D173" s="1" t="s">
        <v>136</v>
      </c>
      <c r="E173" s="2">
        <v>6199.65</v>
      </c>
      <c r="F173" s="2">
        <v>6224.3000000000011</v>
      </c>
      <c r="G173" s="2">
        <v>8074.1399999999994</v>
      </c>
      <c r="H173" s="2">
        <v>7674.7699999999995</v>
      </c>
      <c r="I173" s="2">
        <v>4444.05</v>
      </c>
      <c r="J173" s="2">
        <v>3842.6099999999997</v>
      </c>
      <c r="K173" s="2">
        <v>2845.78</v>
      </c>
      <c r="L173" s="2">
        <v>6085.4000000000005</v>
      </c>
      <c r="M173" s="2">
        <v>11979.52</v>
      </c>
      <c r="N173" s="42">
        <v>4460.21</v>
      </c>
      <c r="O173" s="42">
        <v>7200.39</v>
      </c>
      <c r="P173" s="42">
        <v>4969</v>
      </c>
      <c r="Q173" s="49">
        <v>4090.61</v>
      </c>
      <c r="R173" s="39">
        <v>2349.8399999999997</v>
      </c>
      <c r="S173" s="41">
        <v>3393.27</v>
      </c>
      <c r="T173" s="41">
        <v>8020.59</v>
      </c>
      <c r="U173" s="16">
        <f t="shared" si="21"/>
        <v>4627.32</v>
      </c>
      <c r="V173" s="45">
        <f t="shared" si="22"/>
        <v>1.3636757464039111</v>
      </c>
    </row>
    <row r="174" spans="1:22" x14ac:dyDescent="0.2">
      <c r="A174" s="3">
        <v>707151</v>
      </c>
      <c r="B174" s="3" t="s">
        <v>397</v>
      </c>
      <c r="C174" s="1">
        <v>764110</v>
      </c>
      <c r="D174" s="1" t="s">
        <v>137</v>
      </c>
      <c r="E174" s="2">
        <v>28870.03</v>
      </c>
      <c r="F174" s="2">
        <v>27653.620000000006</v>
      </c>
      <c r="G174" s="2">
        <v>27626.599999999995</v>
      </c>
      <c r="H174" s="2">
        <v>22984.000000000004</v>
      </c>
      <c r="I174" s="2">
        <v>20341.500000000004</v>
      </c>
      <c r="J174" s="2">
        <v>19448.13</v>
      </c>
      <c r="K174" s="2">
        <v>19051.430000000004</v>
      </c>
      <c r="L174" s="2">
        <v>18366.32</v>
      </c>
      <c r="M174" s="2">
        <v>18516.900000000001</v>
      </c>
      <c r="N174" s="42">
        <v>19053.47</v>
      </c>
      <c r="O174" s="42">
        <v>19860.580000000002</v>
      </c>
      <c r="P174" s="42">
        <v>16698.64</v>
      </c>
      <c r="Q174" s="49">
        <v>15079.5</v>
      </c>
      <c r="R174" s="39">
        <v>14285.099999999999</v>
      </c>
      <c r="S174" s="41">
        <v>12694.470000000003</v>
      </c>
      <c r="T174" s="41">
        <v>11899.310000000001</v>
      </c>
      <c r="U174" s="16">
        <f t="shared" si="21"/>
        <v>-795.16000000000167</v>
      </c>
      <c r="V174" s="45">
        <f t="shared" si="22"/>
        <v>-6.2638298408677281E-2</v>
      </c>
    </row>
    <row r="175" spans="1:22" x14ac:dyDescent="0.2">
      <c r="A175" s="3">
        <v>707151</v>
      </c>
      <c r="B175" s="3" t="s">
        <v>397</v>
      </c>
      <c r="C175" s="1">
        <v>764120</v>
      </c>
      <c r="D175" s="1" t="s">
        <v>138</v>
      </c>
      <c r="E175" s="2">
        <v>1838.2100000000003</v>
      </c>
      <c r="F175" s="2">
        <v>1571.6999999999996</v>
      </c>
      <c r="G175" s="2">
        <v>1559.09</v>
      </c>
      <c r="H175" s="2">
        <v>1656.3000000000002</v>
      </c>
      <c r="I175" s="2">
        <v>1525.7099999999998</v>
      </c>
      <c r="J175" s="2">
        <v>1332.59</v>
      </c>
      <c r="K175" s="2">
        <v>1435.5599999999997</v>
      </c>
      <c r="L175" s="2">
        <v>1310.92</v>
      </c>
      <c r="M175" s="2">
        <v>1025.69</v>
      </c>
      <c r="N175" s="42">
        <v>1321.3400000000001</v>
      </c>
      <c r="O175" s="42">
        <v>974.25</v>
      </c>
      <c r="P175" s="42">
        <v>791.14</v>
      </c>
      <c r="Q175" s="49">
        <v>662.1</v>
      </c>
      <c r="R175" s="49"/>
      <c r="S175" s="49"/>
      <c r="T175" s="49"/>
      <c r="U175" s="16">
        <f t="shared" si="21"/>
        <v>0</v>
      </c>
      <c r="V175" s="45" t="e">
        <f t="shared" si="22"/>
        <v>#DIV/0!</v>
      </c>
    </row>
    <row r="176" spans="1:22" x14ac:dyDescent="0.2">
      <c r="C176" s="1">
        <v>764130</v>
      </c>
      <c r="D176" s="1" t="s">
        <v>139</v>
      </c>
      <c r="E176" s="2">
        <v>6.4</v>
      </c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16">
        <f t="shared" si="21"/>
        <v>0</v>
      </c>
      <c r="V176" s="45" t="e">
        <f t="shared" si="22"/>
        <v>#DIV/0!</v>
      </c>
    </row>
    <row r="177" spans="1:22" x14ac:dyDescent="0.2">
      <c r="A177" s="3">
        <v>707300</v>
      </c>
      <c r="B177" s="3" t="s">
        <v>401</v>
      </c>
      <c r="C177" s="1">
        <v>771100</v>
      </c>
      <c r="D177" s="1" t="s">
        <v>141</v>
      </c>
      <c r="E177" s="2">
        <v>70138.820000000007</v>
      </c>
      <c r="F177" s="2">
        <v>108378.30999999998</v>
      </c>
      <c r="G177" s="2">
        <v>91458.63</v>
      </c>
      <c r="H177" s="2">
        <v>58243.130000000005</v>
      </c>
      <c r="I177" s="2">
        <v>64288.77</v>
      </c>
      <c r="J177" s="2">
        <v>60140.81</v>
      </c>
      <c r="K177" s="2">
        <v>62306.399999999994</v>
      </c>
      <c r="L177" s="2">
        <v>54493.359999999993</v>
      </c>
      <c r="M177" s="2">
        <v>47297.719999999987</v>
      </c>
      <c r="N177" s="42">
        <v>9070.1</v>
      </c>
      <c r="O177" s="42">
        <v>9103.81</v>
      </c>
      <c r="P177" s="42">
        <v>6749.18</v>
      </c>
      <c r="Q177" s="49">
        <v>11141.36</v>
      </c>
      <c r="R177" s="49"/>
      <c r="S177" s="49"/>
      <c r="T177" s="49"/>
      <c r="U177" s="16">
        <f t="shared" si="21"/>
        <v>0</v>
      </c>
      <c r="V177" s="45" t="e">
        <f t="shared" si="22"/>
        <v>#DIV/0!</v>
      </c>
    </row>
    <row r="178" spans="1:22" x14ac:dyDescent="0.2">
      <c r="A178" s="3">
        <v>707300</v>
      </c>
      <c r="B178" s="3" t="s">
        <v>401</v>
      </c>
      <c r="C178" s="1">
        <v>771105</v>
      </c>
      <c r="D178" s="1" t="s">
        <v>142</v>
      </c>
      <c r="E178" s="2">
        <v>3105.4</v>
      </c>
      <c r="F178" s="2">
        <v>38.380000000000003</v>
      </c>
      <c r="G178" s="2">
        <v>169.19</v>
      </c>
      <c r="H178" s="2"/>
      <c r="I178" s="2"/>
      <c r="J178" s="2"/>
      <c r="K178" s="2"/>
      <c r="L178" s="2"/>
      <c r="M178" s="2"/>
      <c r="N178" s="47"/>
      <c r="O178" s="42"/>
      <c r="P178" s="42"/>
      <c r="Q178" s="42"/>
      <c r="R178" s="42"/>
      <c r="S178" s="42"/>
      <c r="T178" s="42"/>
      <c r="U178" s="16">
        <f t="shared" si="21"/>
        <v>0</v>
      </c>
      <c r="V178" s="45" t="e">
        <f t="shared" si="22"/>
        <v>#DIV/0!</v>
      </c>
    </row>
    <row r="179" spans="1:22" x14ac:dyDescent="0.2">
      <c r="A179" s="3">
        <v>707300</v>
      </c>
      <c r="B179" s="3" t="s">
        <v>401</v>
      </c>
      <c r="C179" s="1">
        <v>771110</v>
      </c>
      <c r="D179" s="1" t="s">
        <v>143</v>
      </c>
      <c r="E179" s="2">
        <v>14932.83</v>
      </c>
      <c r="F179" s="2">
        <v>12224.49</v>
      </c>
      <c r="G179" s="2">
        <v>23084.77</v>
      </c>
      <c r="H179" s="2">
        <v>106738.95</v>
      </c>
      <c r="I179" s="2">
        <v>110207.1</v>
      </c>
      <c r="J179" s="2">
        <v>96039.46</v>
      </c>
      <c r="K179" s="2">
        <v>97232.049999999988</v>
      </c>
      <c r="L179" s="2">
        <v>94653.73</v>
      </c>
      <c r="M179" s="2">
        <v>91731.3</v>
      </c>
      <c r="N179" s="42">
        <v>100067.89</v>
      </c>
      <c r="O179" s="42">
        <v>73545.97</v>
      </c>
      <c r="P179" s="42">
        <v>84869.36</v>
      </c>
      <c r="Q179" s="49">
        <v>83475.69</v>
      </c>
      <c r="R179" s="39">
        <v>86577.050000000017</v>
      </c>
      <c r="S179" s="41">
        <v>62085.58</v>
      </c>
      <c r="T179" s="41">
        <v>25871.240000000005</v>
      </c>
      <c r="U179" s="16">
        <f t="shared" si="21"/>
        <v>-36214.339999999997</v>
      </c>
      <c r="V179" s="45">
        <f t="shared" si="22"/>
        <v>-0.58329711987872213</v>
      </c>
    </row>
    <row r="180" spans="1:22" x14ac:dyDescent="0.2">
      <c r="A180" s="3">
        <v>707200</v>
      </c>
      <c r="B180" s="3" t="s">
        <v>400</v>
      </c>
      <c r="C180" s="1">
        <v>771115</v>
      </c>
      <c r="D180" s="1" t="s">
        <v>144</v>
      </c>
      <c r="E180" s="2">
        <v>8439.15</v>
      </c>
      <c r="F180" s="2">
        <v>13453.739999999998</v>
      </c>
      <c r="G180" s="2">
        <v>4749.0600000000004</v>
      </c>
      <c r="H180" s="2">
        <v>57649.81</v>
      </c>
      <c r="I180" s="2">
        <v>7584.09</v>
      </c>
      <c r="J180" s="2">
        <v>117</v>
      </c>
      <c r="K180" s="2"/>
      <c r="L180" s="2"/>
      <c r="M180" s="2">
        <v>3990</v>
      </c>
      <c r="N180" s="43"/>
      <c r="O180" s="42">
        <v>11089.75</v>
      </c>
      <c r="P180" s="42">
        <v>8801.25</v>
      </c>
      <c r="Q180" s="49">
        <v>43468.65</v>
      </c>
      <c r="R180" s="39">
        <v>14905.62</v>
      </c>
      <c r="S180" s="41">
        <v>6191.4000000000005</v>
      </c>
      <c r="T180" s="41">
        <v>-5036.6099999999997</v>
      </c>
      <c r="U180" s="16">
        <f t="shared" si="21"/>
        <v>-11228.01</v>
      </c>
      <c r="V180" s="45">
        <f t="shared" si="22"/>
        <v>-1.8134848338017249</v>
      </c>
    </row>
    <row r="181" spans="1:22" x14ac:dyDescent="0.2">
      <c r="A181" s="3">
        <v>707306</v>
      </c>
      <c r="B181" s="3" t="s">
        <v>406</v>
      </c>
      <c r="C181" s="1">
        <v>772100</v>
      </c>
      <c r="D181" s="1" t="s">
        <v>145</v>
      </c>
      <c r="E181" s="2"/>
      <c r="F181" s="2">
        <v>214</v>
      </c>
      <c r="G181" s="2"/>
      <c r="H181" s="2">
        <v>239.92000000000002</v>
      </c>
      <c r="I181" s="2">
        <v>1126.29</v>
      </c>
      <c r="J181" s="2">
        <v>28.6</v>
      </c>
      <c r="K181" s="2">
        <v>492</v>
      </c>
      <c r="L181" s="2">
        <v>662.72</v>
      </c>
      <c r="M181" s="2">
        <v>6369</v>
      </c>
      <c r="N181" s="42">
        <v>7852.22</v>
      </c>
      <c r="O181" s="42">
        <v>957.75</v>
      </c>
      <c r="P181" s="42">
        <v>5576.3</v>
      </c>
      <c r="Q181" s="49">
        <v>1916.06</v>
      </c>
      <c r="R181" s="39">
        <v>4553.25</v>
      </c>
      <c r="S181" s="41">
        <v>3816.1900000000005</v>
      </c>
      <c r="T181" s="41">
        <v>14785.78</v>
      </c>
      <c r="U181" s="16">
        <f t="shared" si="21"/>
        <v>10969.59</v>
      </c>
      <c r="V181" s="45">
        <f t="shared" si="22"/>
        <v>2.8744873813934837</v>
      </c>
    </row>
    <row r="182" spans="1:22" x14ac:dyDescent="0.2">
      <c r="A182" s="3">
        <v>707502</v>
      </c>
      <c r="B182" s="3" t="s">
        <v>444</v>
      </c>
      <c r="C182" s="1">
        <v>772115</v>
      </c>
      <c r="D182" s="1" t="s">
        <v>147</v>
      </c>
      <c r="E182" s="2">
        <v>53972.020000000004</v>
      </c>
      <c r="F182" s="2">
        <v>34745.020000000004</v>
      </c>
      <c r="G182" s="2">
        <v>66801.900000000009</v>
      </c>
      <c r="H182" s="2">
        <v>99075.209999999992</v>
      </c>
      <c r="I182" s="2">
        <v>54884.55</v>
      </c>
      <c r="J182" s="2">
        <v>1929.36</v>
      </c>
      <c r="K182" s="2">
        <v>4906.88</v>
      </c>
      <c r="L182" s="2">
        <v>7557.02</v>
      </c>
      <c r="M182" s="2">
        <v>38816.83</v>
      </c>
      <c r="N182" s="42">
        <v>3319.4</v>
      </c>
      <c r="O182" s="42">
        <v>231121.78</v>
      </c>
      <c r="P182" s="42">
        <v>264532.34000000003</v>
      </c>
      <c r="Q182" s="49">
        <v>55662.38</v>
      </c>
      <c r="R182" s="39">
        <v>2466.67</v>
      </c>
      <c r="S182" s="41">
        <v>566.21</v>
      </c>
      <c r="T182" s="41"/>
      <c r="U182" s="16">
        <f t="shared" si="21"/>
        <v>-566.21</v>
      </c>
      <c r="V182" s="45">
        <f t="shared" si="22"/>
        <v>-1</v>
      </c>
    </row>
    <row r="183" spans="1:22" x14ac:dyDescent="0.2">
      <c r="A183" s="3">
        <v>706501</v>
      </c>
      <c r="B183" s="3" t="s">
        <v>382</v>
      </c>
      <c r="C183" s="1">
        <v>772116</v>
      </c>
      <c r="D183" s="1" t="s">
        <v>148</v>
      </c>
      <c r="E183" s="2">
        <v>1500.54</v>
      </c>
      <c r="F183" s="2">
        <v>328.05</v>
      </c>
      <c r="G183" s="2">
        <v>3412.4</v>
      </c>
      <c r="H183" s="2">
        <v>3544.8</v>
      </c>
      <c r="I183" s="2"/>
      <c r="J183" s="2">
        <v>0</v>
      </c>
      <c r="K183" s="2"/>
      <c r="L183" s="2"/>
      <c r="M183" s="2">
        <v>884.93000000000006</v>
      </c>
      <c r="N183" s="43"/>
      <c r="O183" s="42">
        <v>7850.5</v>
      </c>
      <c r="P183" s="42">
        <v>5193.75</v>
      </c>
      <c r="Q183" s="49">
        <v>1805</v>
      </c>
      <c r="R183" s="39">
        <v>418</v>
      </c>
      <c r="S183" s="39"/>
      <c r="T183" s="39"/>
      <c r="U183" s="16">
        <f t="shared" si="21"/>
        <v>0</v>
      </c>
      <c r="V183" s="45" t="e">
        <f t="shared" si="22"/>
        <v>#DIV/0!</v>
      </c>
    </row>
    <row r="184" spans="1:22" x14ac:dyDescent="0.2">
      <c r="A184" s="3">
        <v>706502</v>
      </c>
      <c r="B184" s="3" t="s">
        <v>383</v>
      </c>
      <c r="C184" s="1">
        <v>772117</v>
      </c>
      <c r="D184" s="1" t="s">
        <v>149</v>
      </c>
      <c r="E184" s="2">
        <v>16806.23</v>
      </c>
      <c r="F184" s="2">
        <v>58572.41</v>
      </c>
      <c r="G184" s="2">
        <v>72791.159999999989</v>
      </c>
      <c r="H184" s="2">
        <v>119278.45999999999</v>
      </c>
      <c r="I184" s="2">
        <v>80800.710000000006</v>
      </c>
      <c r="J184" s="2">
        <v>16880.650000000001</v>
      </c>
      <c r="K184" s="2">
        <v>24063.09</v>
      </c>
      <c r="L184" s="2">
        <v>10639.340000000002</v>
      </c>
      <c r="M184" s="2">
        <v>134848.77000000002</v>
      </c>
      <c r="N184" s="42">
        <v>143361.14000000001</v>
      </c>
      <c r="O184" s="42">
        <v>138946.23999999999</v>
      </c>
      <c r="P184" s="42">
        <v>5151.03</v>
      </c>
      <c r="Q184" s="49">
        <v>59170.510000000009</v>
      </c>
      <c r="R184" s="39">
        <v>84783.22</v>
      </c>
      <c r="S184" s="41">
        <v>1821</v>
      </c>
      <c r="T184" s="41"/>
      <c r="U184" s="16">
        <f t="shared" si="21"/>
        <v>-1821</v>
      </c>
      <c r="V184" s="45">
        <f t="shared" si="22"/>
        <v>-1</v>
      </c>
    </row>
    <row r="185" spans="1:22" x14ac:dyDescent="0.2">
      <c r="A185" s="3">
        <v>707301</v>
      </c>
      <c r="B185" s="3" t="s">
        <v>402</v>
      </c>
      <c r="C185" s="1">
        <v>772120</v>
      </c>
      <c r="D185" s="1" t="s">
        <v>150</v>
      </c>
      <c r="E185" s="2">
        <v>459.65</v>
      </c>
      <c r="F185" s="2">
        <v>2272.44</v>
      </c>
      <c r="G185" s="2">
        <v>1452.73</v>
      </c>
      <c r="H185" s="2">
        <v>2202.2600000000002</v>
      </c>
      <c r="I185" s="2">
        <v>3028.47</v>
      </c>
      <c r="J185" s="2">
        <v>4839.2300000000005</v>
      </c>
      <c r="K185" s="2">
        <v>12716.119999999999</v>
      </c>
      <c r="L185" s="2">
        <v>7772.44</v>
      </c>
      <c r="M185" s="2">
        <v>3370.25</v>
      </c>
      <c r="N185" s="42">
        <v>848.71</v>
      </c>
      <c r="O185" s="42">
        <v>6003.73</v>
      </c>
      <c r="P185" s="42">
        <v>998.97</v>
      </c>
      <c r="Q185" s="49">
        <v>573.58000000000004</v>
      </c>
      <c r="R185" s="39">
        <v>1836.66</v>
      </c>
      <c r="S185" s="41">
        <v>1831.44</v>
      </c>
      <c r="T185" s="41"/>
      <c r="U185" s="16">
        <f t="shared" si="21"/>
        <v>-1831.44</v>
      </c>
      <c r="V185" s="45">
        <f t="shared" si="22"/>
        <v>-1</v>
      </c>
    </row>
    <row r="186" spans="1:22" x14ac:dyDescent="0.2">
      <c r="A186" s="3">
        <v>702200</v>
      </c>
      <c r="B186" s="3" t="s">
        <v>74</v>
      </c>
      <c r="C186" s="1">
        <v>772125</v>
      </c>
      <c r="D186" s="1" t="s">
        <v>151</v>
      </c>
      <c r="E186" s="2">
        <v>450.72</v>
      </c>
      <c r="F186" s="2"/>
      <c r="G186" s="2"/>
      <c r="H186" s="2">
        <v>157.22999999999999</v>
      </c>
      <c r="I186" s="2"/>
      <c r="J186" s="2"/>
      <c r="K186" s="2">
        <v>2311.8000000000002</v>
      </c>
      <c r="L186" s="2">
        <v>969</v>
      </c>
      <c r="M186" s="2">
        <v>8979.15</v>
      </c>
      <c r="N186" s="42">
        <v>2162.0600000000004</v>
      </c>
      <c r="O186" s="42">
        <v>21992.639999999999</v>
      </c>
      <c r="P186" s="42">
        <v>3946.37</v>
      </c>
      <c r="Q186" s="49">
        <v>530.25</v>
      </c>
      <c r="R186" s="49"/>
      <c r="S186" s="49"/>
      <c r="T186" s="49"/>
      <c r="U186" s="16">
        <f t="shared" si="21"/>
        <v>0</v>
      </c>
      <c r="V186" s="45" t="e">
        <f t="shared" si="22"/>
        <v>#DIV/0!</v>
      </c>
    </row>
    <row r="187" spans="1:22" x14ac:dyDescent="0.2">
      <c r="A187" s="3">
        <v>707303</v>
      </c>
      <c r="B187" s="3" t="s">
        <v>403</v>
      </c>
      <c r="C187" s="1">
        <v>772130</v>
      </c>
      <c r="D187" s="1" t="s">
        <v>196</v>
      </c>
      <c r="E187" s="2"/>
      <c r="F187" s="2"/>
      <c r="G187" s="2">
        <v>3354.2400000000002</v>
      </c>
      <c r="H187" s="2">
        <v>919.96</v>
      </c>
      <c r="I187" s="2">
        <v>0</v>
      </c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16">
        <f t="shared" si="21"/>
        <v>0</v>
      </c>
      <c r="V187" s="45" t="e">
        <f t="shared" si="22"/>
        <v>#DIV/0!</v>
      </c>
    </row>
    <row r="188" spans="1:22" x14ac:dyDescent="0.2">
      <c r="A188" s="3">
        <v>707304</v>
      </c>
      <c r="B188" s="3" t="s">
        <v>404</v>
      </c>
      <c r="C188" s="1">
        <v>772135</v>
      </c>
      <c r="D188" s="1" t="s">
        <v>152</v>
      </c>
      <c r="E188" s="2">
        <v>2370.58</v>
      </c>
      <c r="F188" s="2">
        <v>2351.3100000000004</v>
      </c>
      <c r="G188" s="2">
        <v>2297.1200000000003</v>
      </c>
      <c r="H188" s="2">
        <v>20800.09</v>
      </c>
      <c r="I188" s="2">
        <v>3972.99</v>
      </c>
      <c r="J188" s="2">
        <v>6086.74</v>
      </c>
      <c r="K188" s="2">
        <v>5990.95</v>
      </c>
      <c r="L188" s="2">
        <v>1678.59</v>
      </c>
      <c r="M188" s="2">
        <v>4283.01</v>
      </c>
      <c r="N188" s="42">
        <v>14318.19</v>
      </c>
      <c r="O188" s="42">
        <v>9372.58</v>
      </c>
      <c r="P188" s="42">
        <v>7676.03</v>
      </c>
      <c r="Q188" s="49">
        <v>6439.91</v>
      </c>
      <c r="R188" s="39">
        <v>4280.55</v>
      </c>
      <c r="S188" s="41">
        <v>7330.45</v>
      </c>
      <c r="T188" s="41">
        <v>3486.23</v>
      </c>
      <c r="U188" s="16">
        <f t="shared" si="21"/>
        <v>-3844.22</v>
      </c>
      <c r="V188" s="45">
        <f t="shared" si="22"/>
        <v>-0.52441800980840192</v>
      </c>
    </row>
    <row r="189" spans="1:22" x14ac:dyDescent="0.2">
      <c r="A189" s="3">
        <v>707309</v>
      </c>
      <c r="B189" s="3" t="s">
        <v>408</v>
      </c>
      <c r="C189" s="1">
        <v>772140</v>
      </c>
      <c r="D189" s="1" t="s">
        <v>153</v>
      </c>
      <c r="E189" s="2">
        <v>14929.2</v>
      </c>
      <c r="F189" s="2">
        <v>17880.600000000002</v>
      </c>
      <c r="G189" s="2">
        <v>17863.45</v>
      </c>
      <c r="H189" s="2">
        <v>71544</v>
      </c>
      <c r="I189" s="2">
        <v>26592.9</v>
      </c>
      <c r="J189" s="2">
        <v>35018.06</v>
      </c>
      <c r="K189" s="2">
        <v>21390.960000000003</v>
      </c>
      <c r="L189" s="2">
        <v>18919.310000000001</v>
      </c>
      <c r="M189" s="2">
        <v>21496.670000000006</v>
      </c>
      <c r="N189" s="42">
        <v>38526.43</v>
      </c>
      <c r="O189" s="42">
        <v>14268.870000000003</v>
      </c>
      <c r="P189" s="42">
        <v>26995.15</v>
      </c>
      <c r="Q189" s="49">
        <v>8581.7100000000009</v>
      </c>
      <c r="R189" s="39">
        <v>14216.41</v>
      </c>
      <c r="S189" s="41">
        <v>9495.83</v>
      </c>
      <c r="T189" s="41">
        <v>22583</v>
      </c>
      <c r="U189" s="16">
        <f t="shared" si="21"/>
        <v>13087.17</v>
      </c>
      <c r="V189" s="45">
        <f t="shared" si="22"/>
        <v>1.3782018001585961</v>
      </c>
    </row>
    <row r="190" spans="1:22" x14ac:dyDescent="0.2">
      <c r="A190" s="3">
        <v>707307</v>
      </c>
      <c r="B190" s="3" t="s">
        <v>407</v>
      </c>
      <c r="C190" s="1">
        <v>772150</v>
      </c>
      <c r="D190" s="1" t="s">
        <v>154</v>
      </c>
      <c r="E190" s="2">
        <v>6109.92</v>
      </c>
      <c r="F190" s="2">
        <v>14376.59</v>
      </c>
      <c r="G190" s="2">
        <v>12425.75</v>
      </c>
      <c r="H190" s="2">
        <v>8129.6500000000005</v>
      </c>
      <c r="I190" s="2">
        <v>4899.03</v>
      </c>
      <c r="J190" s="2"/>
      <c r="K190" s="2">
        <v>8188.41</v>
      </c>
      <c r="L190" s="2">
        <v>6701.83</v>
      </c>
      <c r="M190" s="2"/>
      <c r="N190" s="42">
        <v>14097.460000000001</v>
      </c>
      <c r="O190" s="42">
        <v>1270.25</v>
      </c>
      <c r="P190" s="42">
        <v>12442.22</v>
      </c>
      <c r="Q190" s="49">
        <v>7215.03</v>
      </c>
      <c r="R190" s="49"/>
      <c r="S190" s="41">
        <v>4615</v>
      </c>
      <c r="T190" s="41"/>
      <c r="U190" s="16">
        <f t="shared" si="21"/>
        <v>-4615</v>
      </c>
      <c r="V190" s="45">
        <f t="shared" si="22"/>
        <v>-1</v>
      </c>
    </row>
    <row r="191" spans="1:22" x14ac:dyDescent="0.2">
      <c r="A191" s="3">
        <v>707350</v>
      </c>
      <c r="B191" s="3" t="s">
        <v>409</v>
      </c>
      <c r="C191" s="1">
        <v>773100</v>
      </c>
      <c r="D191" s="1" t="s">
        <v>155</v>
      </c>
      <c r="E191" s="2">
        <v>83295.959999999992</v>
      </c>
      <c r="F191" s="2">
        <v>72931.799999999988</v>
      </c>
      <c r="G191" s="2">
        <v>74373.12000000001</v>
      </c>
      <c r="H191" s="2">
        <v>80484.350000000006</v>
      </c>
      <c r="I191" s="2">
        <v>53810.850000000006</v>
      </c>
      <c r="J191" s="2">
        <v>42730.55</v>
      </c>
      <c r="K191" s="2">
        <v>19519.95</v>
      </c>
      <c r="L191" s="2">
        <v>25073.230000000003</v>
      </c>
      <c r="M191" s="2">
        <v>14389.640000000001</v>
      </c>
      <c r="N191" s="42">
        <v>21100.61</v>
      </c>
      <c r="O191" s="42">
        <v>14159.79</v>
      </c>
      <c r="P191" s="42">
        <v>8739.69</v>
      </c>
      <c r="Q191" s="49">
        <v>13901.86</v>
      </c>
      <c r="R191" s="39">
        <v>19536.11</v>
      </c>
      <c r="S191" s="41">
        <v>3938.44</v>
      </c>
      <c r="T191" s="41">
        <v>2430.39</v>
      </c>
      <c r="U191" s="16">
        <f t="shared" si="21"/>
        <v>-1508.0500000000002</v>
      </c>
      <c r="V191" s="45">
        <f t="shared" si="22"/>
        <v>-0.38290541432648462</v>
      </c>
    </row>
    <row r="192" spans="1:22" x14ac:dyDescent="0.2">
      <c r="A192" s="3">
        <v>707350</v>
      </c>
      <c r="B192" s="3" t="s">
        <v>409</v>
      </c>
      <c r="C192" s="1">
        <v>773110</v>
      </c>
      <c r="D192" s="1" t="s">
        <v>156</v>
      </c>
      <c r="E192" s="2">
        <v>5493.73</v>
      </c>
      <c r="F192" s="2">
        <v>3681.9</v>
      </c>
      <c r="G192" s="2">
        <v>2512.42</v>
      </c>
      <c r="H192" s="2">
        <v>1122.1500000000001</v>
      </c>
      <c r="I192" s="2">
        <v>4230.49</v>
      </c>
      <c r="J192" s="2">
        <v>1268.9100000000001</v>
      </c>
      <c r="K192" s="2">
        <v>1519.28</v>
      </c>
      <c r="L192" s="2">
        <v>331.11</v>
      </c>
      <c r="M192" s="2">
        <v>276</v>
      </c>
      <c r="N192" s="42">
        <v>1108.69</v>
      </c>
      <c r="O192" s="42">
        <v>465.6</v>
      </c>
      <c r="P192" s="42">
        <v>151.15</v>
      </c>
      <c r="Q192" s="49">
        <v>8</v>
      </c>
      <c r="R192" s="49"/>
      <c r="S192" s="49"/>
      <c r="T192" s="49"/>
      <c r="U192" s="16">
        <f t="shared" si="21"/>
        <v>0</v>
      </c>
      <c r="V192" s="45" t="e">
        <f t="shared" si="22"/>
        <v>#DIV/0!</v>
      </c>
    </row>
    <row r="193" spans="1:22" x14ac:dyDescent="0.2">
      <c r="A193" s="3">
        <v>707403</v>
      </c>
      <c r="B193" s="3" t="s">
        <v>410</v>
      </c>
      <c r="C193" s="1">
        <v>773115</v>
      </c>
      <c r="D193" s="1" t="s">
        <v>157</v>
      </c>
      <c r="E193" s="2">
        <v>190.10000000000002</v>
      </c>
      <c r="F193" s="2">
        <v>361.19</v>
      </c>
      <c r="G193" s="2">
        <v>56.16</v>
      </c>
      <c r="H193" s="2">
        <v>703.71</v>
      </c>
      <c r="I193" s="2">
        <v>211.35000000000002</v>
      </c>
      <c r="J193" s="2">
        <v>29.46</v>
      </c>
      <c r="K193" s="2">
        <v>506.69</v>
      </c>
      <c r="L193" s="2"/>
      <c r="M193" s="2">
        <v>28.13</v>
      </c>
      <c r="N193" s="2"/>
      <c r="O193" s="2"/>
      <c r="P193" s="2"/>
      <c r="Q193" s="2"/>
      <c r="R193" s="2"/>
      <c r="S193" s="2"/>
      <c r="T193" s="2"/>
      <c r="U193" s="16">
        <f t="shared" si="21"/>
        <v>0</v>
      </c>
      <c r="V193" s="45" t="e">
        <f t="shared" si="22"/>
        <v>#DIV/0!</v>
      </c>
    </row>
    <row r="194" spans="1:22" x14ac:dyDescent="0.2">
      <c r="A194" s="3">
        <v>707400</v>
      </c>
      <c r="B194" s="3" t="s">
        <v>158</v>
      </c>
      <c r="C194" s="1">
        <v>773120</v>
      </c>
      <c r="D194" s="1" t="s">
        <v>158</v>
      </c>
      <c r="E194" s="2">
        <v>42823.710000000006</v>
      </c>
      <c r="F194" s="2">
        <v>48025.51</v>
      </c>
      <c r="G194" s="2">
        <v>-9315.619999999999</v>
      </c>
      <c r="H194" s="2">
        <v>48831.290000000008</v>
      </c>
      <c r="I194" s="2">
        <v>38141.58</v>
      </c>
      <c r="J194" s="2">
        <v>35048.86</v>
      </c>
      <c r="K194" s="2">
        <v>23807.230000000003</v>
      </c>
      <c r="L194" s="2">
        <v>37772.49</v>
      </c>
      <c r="M194" s="2">
        <v>21629.579999999998</v>
      </c>
      <c r="N194" s="42">
        <v>23251.120000000003</v>
      </c>
      <c r="O194" s="42">
        <v>16643.100000000002</v>
      </c>
      <c r="P194" s="42">
        <v>14847.85</v>
      </c>
      <c r="Q194" s="49">
        <v>15670.27</v>
      </c>
      <c r="R194" s="39">
        <v>12053.38</v>
      </c>
      <c r="S194" s="41">
        <v>6977.6100000000006</v>
      </c>
      <c r="T194" s="41">
        <v>4734.21</v>
      </c>
      <c r="U194" s="16">
        <f t="shared" si="21"/>
        <v>-2243.4000000000005</v>
      </c>
      <c r="V194" s="45">
        <f t="shared" si="22"/>
        <v>-0.32151410010017761</v>
      </c>
    </row>
    <row r="195" spans="1:22" x14ac:dyDescent="0.2">
      <c r="A195" s="3">
        <v>702105</v>
      </c>
      <c r="B195" s="3" t="s">
        <v>350</v>
      </c>
      <c r="C195" s="1">
        <v>773125</v>
      </c>
      <c r="D195" s="1" t="s">
        <v>159</v>
      </c>
      <c r="E195" s="2">
        <v>1705.4</v>
      </c>
      <c r="F195" s="2">
        <v>1307.5</v>
      </c>
      <c r="G195" s="2">
        <v>2010.03</v>
      </c>
      <c r="H195" s="2">
        <v>8717.630000000001</v>
      </c>
      <c r="I195" s="2">
        <v>13148</v>
      </c>
      <c r="J195" s="2">
        <v>15829.81</v>
      </c>
      <c r="K195" s="2">
        <v>12409.32</v>
      </c>
      <c r="L195" s="2">
        <v>5885</v>
      </c>
      <c r="M195" s="2">
        <v>6335</v>
      </c>
      <c r="N195" s="42">
        <v>4640</v>
      </c>
      <c r="O195" s="42">
        <v>3931</v>
      </c>
      <c r="P195" s="42">
        <v>8506</v>
      </c>
      <c r="Q195" s="49">
        <v>12215</v>
      </c>
      <c r="R195" s="39">
        <v>2954.5</v>
      </c>
      <c r="S195" s="41">
        <v>2103.04</v>
      </c>
      <c r="T195" s="41"/>
      <c r="U195" s="16">
        <f t="shared" si="21"/>
        <v>-2103.04</v>
      </c>
      <c r="V195" s="45">
        <f t="shared" si="22"/>
        <v>-1</v>
      </c>
    </row>
    <row r="196" spans="1:22" x14ac:dyDescent="0.2">
      <c r="A196" s="3">
        <v>707505</v>
      </c>
      <c r="B196" s="3" t="s">
        <v>413</v>
      </c>
      <c r="C196" s="1">
        <v>773130</v>
      </c>
      <c r="D196" s="1" t="s">
        <v>160</v>
      </c>
      <c r="E196" s="2">
        <v>324.74</v>
      </c>
      <c r="F196" s="2">
        <v>95.2</v>
      </c>
      <c r="G196" s="2">
        <v>317.86</v>
      </c>
      <c r="H196" s="2">
        <v>98.56</v>
      </c>
      <c r="I196" s="2">
        <v>36.29</v>
      </c>
      <c r="J196" s="2">
        <v>382.1</v>
      </c>
      <c r="K196" s="2"/>
      <c r="L196" s="2">
        <v>584.23</v>
      </c>
      <c r="M196" s="2">
        <v>1219.49</v>
      </c>
      <c r="N196" s="42">
        <v>806.95</v>
      </c>
      <c r="O196" s="42">
        <v>52</v>
      </c>
      <c r="P196" s="42">
        <v>272</v>
      </c>
      <c r="Q196" s="42"/>
      <c r="R196" s="42"/>
      <c r="S196" s="42"/>
      <c r="T196" s="42"/>
      <c r="U196" s="16">
        <f t="shared" si="21"/>
        <v>0</v>
      </c>
      <c r="V196" s="45" t="e">
        <f t="shared" si="22"/>
        <v>#DIV/0!</v>
      </c>
    </row>
    <row r="197" spans="1:22" x14ac:dyDescent="0.2">
      <c r="A197" s="3">
        <v>707505</v>
      </c>
      <c r="B197" s="3" t="s">
        <v>413</v>
      </c>
      <c r="C197" s="1">
        <v>773135</v>
      </c>
      <c r="D197" s="1" t="s">
        <v>161</v>
      </c>
      <c r="E197" s="2">
        <v>509.22</v>
      </c>
      <c r="F197" s="2">
        <v>874.43</v>
      </c>
      <c r="G197" s="2">
        <v>481.73999999999995</v>
      </c>
      <c r="H197" s="2">
        <v>488.29</v>
      </c>
      <c r="I197" s="2">
        <v>1507.49</v>
      </c>
      <c r="J197" s="2">
        <v>599.16000000000008</v>
      </c>
      <c r="K197" s="2">
        <v>138.57</v>
      </c>
      <c r="L197" s="2">
        <v>78.570000000000007</v>
      </c>
      <c r="M197" s="2">
        <v>779.54</v>
      </c>
      <c r="N197" s="42">
        <v>902.8</v>
      </c>
      <c r="O197" s="42">
        <v>460.93</v>
      </c>
      <c r="P197" s="42">
        <v>497.13</v>
      </c>
      <c r="Q197" s="49">
        <v>446.22</v>
      </c>
      <c r="R197" s="39">
        <v>2574.09</v>
      </c>
      <c r="S197" s="41">
        <v>62.08</v>
      </c>
      <c r="T197" s="41"/>
      <c r="U197" s="16">
        <f t="shared" si="21"/>
        <v>-62.08</v>
      </c>
      <c r="V197" s="45">
        <f t="shared" si="22"/>
        <v>-1</v>
      </c>
    </row>
    <row r="198" spans="1:22" x14ac:dyDescent="0.2">
      <c r="A198" s="3">
        <v>707452</v>
      </c>
      <c r="B198" s="3" t="s">
        <v>412</v>
      </c>
      <c r="C198" s="1">
        <v>773141</v>
      </c>
      <c r="D198" s="1" t="s">
        <v>162</v>
      </c>
      <c r="E198" s="2">
        <v>470</v>
      </c>
      <c r="F198" s="2">
        <v>3617.12</v>
      </c>
      <c r="G198" s="2">
        <v>15473.900000000001</v>
      </c>
      <c r="H198" s="2">
        <v>15964.25</v>
      </c>
      <c r="I198" s="2">
        <v>6844.3</v>
      </c>
      <c r="J198" s="2">
        <v>5228.1000000000004</v>
      </c>
      <c r="K198" s="2">
        <v>5429.1500000000005</v>
      </c>
      <c r="L198" s="2">
        <v>2164.58</v>
      </c>
      <c r="M198" s="2">
        <v>1763.97</v>
      </c>
      <c r="N198" s="42">
        <v>1648.9699999999998</v>
      </c>
      <c r="O198" s="42">
        <v>2772.11</v>
      </c>
      <c r="P198" s="42">
        <v>429.66</v>
      </c>
      <c r="Q198" s="49">
        <v>4416.78</v>
      </c>
      <c r="R198" s="39">
        <v>146.4</v>
      </c>
      <c r="S198" s="41">
        <v>1734.8000000000002</v>
      </c>
      <c r="T198" s="41">
        <v>1404.0000000000002</v>
      </c>
      <c r="U198" s="16">
        <f t="shared" si="21"/>
        <v>-330.79999999999995</v>
      </c>
      <c r="V198" s="45">
        <f t="shared" si="22"/>
        <v>-0.19068480516486044</v>
      </c>
    </row>
    <row r="199" spans="1:22" x14ac:dyDescent="0.2">
      <c r="A199" s="3">
        <v>707450</v>
      </c>
      <c r="B199" s="3" t="s">
        <v>411</v>
      </c>
      <c r="C199" s="1">
        <v>773142</v>
      </c>
      <c r="D199" s="1" t="s">
        <v>197</v>
      </c>
      <c r="E199" s="2">
        <v>2220</v>
      </c>
      <c r="F199" s="2">
        <v>220</v>
      </c>
      <c r="G199" s="2">
        <v>19</v>
      </c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16">
        <f t="shared" si="21"/>
        <v>0</v>
      </c>
      <c r="V199" s="45" t="e">
        <f t="shared" si="22"/>
        <v>#DIV/0!</v>
      </c>
    </row>
    <row r="200" spans="1:22" x14ac:dyDescent="0.2">
      <c r="A200" s="3">
        <v>707451</v>
      </c>
      <c r="B200" s="3" t="s">
        <v>446</v>
      </c>
      <c r="C200" s="1">
        <v>773145</v>
      </c>
      <c r="D200" s="1" t="s">
        <v>198</v>
      </c>
      <c r="E200" s="2"/>
      <c r="F200" s="2"/>
      <c r="G200" s="2"/>
      <c r="H200" s="2"/>
      <c r="I200" s="2"/>
      <c r="J200" s="2">
        <v>0</v>
      </c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16">
        <f t="shared" si="21"/>
        <v>0</v>
      </c>
      <c r="V200" s="45" t="e">
        <f t="shared" si="22"/>
        <v>#DIV/0!</v>
      </c>
    </row>
    <row r="201" spans="1:22" x14ac:dyDescent="0.2">
      <c r="A201" s="3">
        <v>707402</v>
      </c>
      <c r="B201" s="3" t="s">
        <v>447</v>
      </c>
      <c r="C201" s="1">
        <v>773150</v>
      </c>
      <c r="D201" s="1" t="s">
        <v>199</v>
      </c>
      <c r="E201" s="2"/>
      <c r="F201" s="2"/>
      <c r="G201" s="2"/>
      <c r="H201" s="2">
        <v>600</v>
      </c>
      <c r="I201" s="2">
        <v>600</v>
      </c>
      <c r="J201" s="2">
        <v>600</v>
      </c>
      <c r="K201" s="2">
        <v>618.1</v>
      </c>
      <c r="L201" s="2">
        <v>639.07000000000005</v>
      </c>
      <c r="M201" s="2">
        <v>17.79</v>
      </c>
      <c r="N201" s="42">
        <v>60.46</v>
      </c>
      <c r="O201" s="42">
        <v>57.63</v>
      </c>
      <c r="P201" s="42"/>
      <c r="Q201" s="42"/>
      <c r="R201" s="42"/>
      <c r="S201" s="41">
        <v>15.93</v>
      </c>
      <c r="T201" s="41">
        <v>49.44</v>
      </c>
      <c r="U201" s="16">
        <f t="shared" si="21"/>
        <v>33.51</v>
      </c>
      <c r="V201" s="45">
        <f t="shared" si="22"/>
        <v>2.103578154425612</v>
      </c>
    </row>
    <row r="202" spans="1:22" x14ac:dyDescent="0.2">
      <c r="A202" s="72">
        <v>702000</v>
      </c>
      <c r="B202" s="72" t="s">
        <v>266</v>
      </c>
      <c r="C202" s="72">
        <v>712100</v>
      </c>
      <c r="D202" s="72" t="s">
        <v>266</v>
      </c>
      <c r="E202" s="2"/>
      <c r="F202" s="2"/>
      <c r="G202" s="2"/>
      <c r="H202" s="2"/>
      <c r="I202" s="2"/>
      <c r="J202" s="2"/>
      <c r="K202" s="2"/>
      <c r="L202" s="2"/>
      <c r="M202" s="2"/>
      <c r="N202" s="42"/>
      <c r="O202" s="42"/>
      <c r="P202" s="42"/>
      <c r="Q202" s="42"/>
      <c r="R202" s="42"/>
      <c r="S202" s="41"/>
      <c r="T202" s="41">
        <v>0.09</v>
      </c>
      <c r="U202" s="16">
        <f t="shared" si="21"/>
        <v>0.09</v>
      </c>
      <c r="V202" s="45" t="e">
        <f t="shared" si="22"/>
        <v>#DIV/0!</v>
      </c>
    </row>
    <row r="203" spans="1:22" x14ac:dyDescent="0.2">
      <c r="A203" s="72">
        <v>702101</v>
      </c>
      <c r="B203" s="72" t="s">
        <v>477</v>
      </c>
      <c r="C203" s="1"/>
      <c r="D203" s="1"/>
      <c r="E203" s="2"/>
      <c r="F203" s="2"/>
      <c r="G203" s="2"/>
      <c r="H203" s="2"/>
      <c r="I203" s="2"/>
      <c r="J203" s="2"/>
      <c r="K203" s="2"/>
      <c r="L203" s="2"/>
      <c r="M203" s="2"/>
      <c r="N203" s="42"/>
      <c r="O203" s="42"/>
      <c r="P203" s="42"/>
      <c r="Q203" s="42"/>
      <c r="R203" s="42"/>
      <c r="S203" s="41">
        <v>7500</v>
      </c>
      <c r="T203" s="41"/>
      <c r="U203" s="16">
        <f t="shared" si="21"/>
        <v>-7500</v>
      </c>
      <c r="V203" s="45">
        <f t="shared" si="22"/>
        <v>-1</v>
      </c>
    </row>
    <row r="204" spans="1:22" x14ac:dyDescent="0.2">
      <c r="A204" s="3">
        <v>702102</v>
      </c>
      <c r="B204" s="3" t="s">
        <v>348</v>
      </c>
      <c r="C204" s="1">
        <v>773155</v>
      </c>
      <c r="D204" s="1" t="s">
        <v>200</v>
      </c>
      <c r="E204" s="2"/>
      <c r="F204" s="2"/>
      <c r="G204" s="2"/>
      <c r="H204" s="2"/>
      <c r="I204" s="2"/>
      <c r="J204" s="2">
        <v>2989</v>
      </c>
      <c r="K204" s="2">
        <v>0</v>
      </c>
      <c r="L204" s="2"/>
      <c r="M204" s="2"/>
      <c r="N204" s="43"/>
      <c r="O204" s="2"/>
      <c r="P204" s="2"/>
      <c r="Q204" s="2"/>
      <c r="R204" s="39">
        <v>3055.68</v>
      </c>
      <c r="S204" s="39"/>
      <c r="T204" s="39"/>
      <c r="U204" s="16">
        <f t="shared" si="21"/>
        <v>0</v>
      </c>
      <c r="V204" s="45" t="e">
        <f t="shared" si="22"/>
        <v>#DIV/0!</v>
      </c>
    </row>
    <row r="205" spans="1:22" x14ac:dyDescent="0.2">
      <c r="A205" s="3">
        <v>702100</v>
      </c>
      <c r="B205" s="3" t="s">
        <v>347</v>
      </c>
      <c r="C205" s="1">
        <v>773160</v>
      </c>
      <c r="D205" s="1" t="s">
        <v>201</v>
      </c>
      <c r="E205" s="2"/>
      <c r="F205" s="2"/>
      <c r="G205" s="2"/>
      <c r="H205" s="2"/>
      <c r="I205" s="2"/>
      <c r="J205" s="2"/>
      <c r="K205" s="2">
        <v>700</v>
      </c>
      <c r="L205" s="2"/>
      <c r="M205" s="2"/>
      <c r="N205" s="43"/>
      <c r="O205" s="2"/>
      <c r="P205" s="2"/>
      <c r="Q205" s="2"/>
      <c r="R205" s="2"/>
      <c r="S205" s="2"/>
      <c r="T205" s="2"/>
      <c r="U205" s="16">
        <f t="shared" si="21"/>
        <v>0</v>
      </c>
      <c r="V205" s="45" t="e">
        <f t="shared" si="22"/>
        <v>#DIV/0!</v>
      </c>
    </row>
    <row r="206" spans="1:22" x14ac:dyDescent="0.2">
      <c r="A206" s="3">
        <v>707590</v>
      </c>
      <c r="B206" s="3" t="s">
        <v>415</v>
      </c>
      <c r="C206" s="1">
        <v>774120</v>
      </c>
      <c r="D206" s="1" t="s">
        <v>164</v>
      </c>
      <c r="E206" s="2">
        <v>21139.71</v>
      </c>
      <c r="F206" s="2">
        <v>785.35</v>
      </c>
      <c r="G206" s="2">
        <v>1617.9</v>
      </c>
      <c r="H206" s="2">
        <v>27145.75</v>
      </c>
      <c r="I206" s="2">
        <v>3095.3500000000004</v>
      </c>
      <c r="J206" s="2">
        <v>30973.65</v>
      </c>
      <c r="K206" s="2">
        <v>35680.57</v>
      </c>
      <c r="L206" s="2">
        <v>8388.26</v>
      </c>
      <c r="M206" s="2">
        <v>10807.19</v>
      </c>
      <c r="N206" s="42">
        <v>5732.63</v>
      </c>
      <c r="O206" s="42">
        <v>7902.65</v>
      </c>
      <c r="P206" s="42">
        <v>7481.53</v>
      </c>
      <c r="Q206" s="49">
        <v>8962.67</v>
      </c>
      <c r="R206" s="69">
        <v>734.64</v>
      </c>
      <c r="S206" s="41">
        <v>5838.37</v>
      </c>
      <c r="T206" s="41">
        <v>3855.4300000000003</v>
      </c>
      <c r="U206" s="16">
        <f t="shared" si="21"/>
        <v>-1982.9399999999996</v>
      </c>
      <c r="V206" s="45">
        <f t="shared" si="22"/>
        <v>-0.3396393171381738</v>
      </c>
    </row>
    <row r="207" spans="1:22" x14ac:dyDescent="0.2">
      <c r="A207" s="3">
        <v>707506</v>
      </c>
      <c r="B207" s="3" t="s">
        <v>414</v>
      </c>
      <c r="C207" s="1">
        <v>774130</v>
      </c>
      <c r="D207" s="1" t="s">
        <v>202</v>
      </c>
      <c r="E207" s="2"/>
      <c r="F207" s="2"/>
      <c r="G207" s="2"/>
      <c r="H207" s="2"/>
      <c r="I207" s="2"/>
      <c r="J207" s="2">
        <v>3085.2000000000003</v>
      </c>
      <c r="K207" s="2">
        <v>2286.7200000000003</v>
      </c>
      <c r="L207" s="2">
        <v>1765.3700000000001</v>
      </c>
      <c r="M207" s="2">
        <v>343.6</v>
      </c>
      <c r="N207" s="2"/>
      <c r="O207" s="42">
        <v>189.98</v>
      </c>
      <c r="P207" s="42">
        <v>79.98</v>
      </c>
      <c r="Q207" s="49">
        <v>31870</v>
      </c>
      <c r="R207" s="39">
        <v>704.4</v>
      </c>
      <c r="S207" s="39"/>
      <c r="T207" s="39"/>
      <c r="U207" s="16">
        <f t="shared" si="21"/>
        <v>0</v>
      </c>
      <c r="V207" s="45" t="e">
        <f t="shared" si="22"/>
        <v>#DIV/0!</v>
      </c>
    </row>
    <row r="208" spans="1:22" x14ac:dyDescent="0.2">
      <c r="A208" s="3">
        <v>707506</v>
      </c>
      <c r="B208" s="3" t="s">
        <v>414</v>
      </c>
      <c r="C208" s="1">
        <v>774140</v>
      </c>
      <c r="D208" s="1" t="s">
        <v>203</v>
      </c>
      <c r="E208" s="2"/>
      <c r="F208" s="2"/>
      <c r="G208" s="2"/>
      <c r="H208" s="2"/>
      <c r="I208" s="2">
        <v>-448.68</v>
      </c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16">
        <f t="shared" si="21"/>
        <v>0</v>
      </c>
      <c r="V208" s="45" t="e">
        <f t="shared" si="22"/>
        <v>#DIV/0!</v>
      </c>
    </row>
    <row r="209" spans="1:22" x14ac:dyDescent="0.2">
      <c r="A209" s="3">
        <v>708025</v>
      </c>
      <c r="B209" s="3" t="s">
        <v>448</v>
      </c>
      <c r="C209" s="1">
        <v>781100</v>
      </c>
      <c r="D209" s="1" t="s">
        <v>165</v>
      </c>
      <c r="E209" s="2">
        <v>28962.04</v>
      </c>
      <c r="F209" s="2">
        <v>25003.730000000003</v>
      </c>
      <c r="G209" s="2">
        <v>19842.79</v>
      </c>
      <c r="H209" s="2">
        <v>2725.17</v>
      </c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16">
        <f t="shared" si="21"/>
        <v>0</v>
      </c>
      <c r="V209" s="45" t="e">
        <f t="shared" si="22"/>
        <v>#DIV/0!</v>
      </c>
    </row>
    <row r="210" spans="1:22" x14ac:dyDescent="0.2">
      <c r="A210" s="3">
        <v>708010</v>
      </c>
      <c r="B210" s="3" t="s">
        <v>449</v>
      </c>
      <c r="C210" s="1">
        <v>784102</v>
      </c>
      <c r="D210" s="1" t="s">
        <v>204</v>
      </c>
      <c r="E210" s="2"/>
      <c r="F210" s="2"/>
      <c r="G210" s="2">
        <v>1924</v>
      </c>
      <c r="H210" s="2">
        <v>-201.64000000000001</v>
      </c>
      <c r="I210" s="2">
        <v>0</v>
      </c>
      <c r="J210" s="2">
        <v>0</v>
      </c>
      <c r="K210" s="2">
        <v>3079.4</v>
      </c>
      <c r="L210" s="2">
        <v>0</v>
      </c>
      <c r="M210" s="2"/>
      <c r="N210" s="2"/>
      <c r="O210" s="2"/>
      <c r="P210" s="2"/>
      <c r="Q210" s="2"/>
      <c r="R210" s="2"/>
      <c r="S210" s="2"/>
      <c r="T210" s="2"/>
      <c r="U210" s="16">
        <f t="shared" si="21"/>
        <v>0</v>
      </c>
      <c r="V210" s="45" t="e">
        <f t="shared" si="22"/>
        <v>#DIV/0!</v>
      </c>
    </row>
    <row r="211" spans="1:22" x14ac:dyDescent="0.2">
      <c r="A211" s="3">
        <v>708020</v>
      </c>
      <c r="B211" s="3" t="s">
        <v>205</v>
      </c>
      <c r="C211" s="1">
        <v>784201</v>
      </c>
      <c r="D211" s="1" t="s">
        <v>205</v>
      </c>
      <c r="E211" s="2"/>
      <c r="F211" s="2"/>
      <c r="G211" s="2"/>
      <c r="H211" s="2"/>
      <c r="I211" s="2"/>
      <c r="J211" s="2">
        <v>327365.3</v>
      </c>
      <c r="K211" s="2">
        <v>0</v>
      </c>
      <c r="L211" s="2"/>
      <c r="M211" s="2"/>
      <c r="N211" s="2"/>
      <c r="O211" s="2"/>
      <c r="P211" s="2"/>
      <c r="Q211" s="2"/>
      <c r="R211" s="2"/>
      <c r="S211" s="2"/>
      <c r="T211" s="2"/>
      <c r="U211" s="16">
        <f t="shared" si="21"/>
        <v>0</v>
      </c>
      <c r="V211" s="45" t="e">
        <f t="shared" si="22"/>
        <v>#DIV/0!</v>
      </c>
    </row>
    <row r="212" spans="1:22" x14ac:dyDescent="0.2">
      <c r="A212" s="3">
        <v>708021</v>
      </c>
      <c r="B212" s="3" t="s">
        <v>417</v>
      </c>
      <c r="C212" s="1">
        <v>784202</v>
      </c>
      <c r="D212" s="1" t="s">
        <v>166</v>
      </c>
      <c r="E212" s="2">
        <v>460.35</v>
      </c>
      <c r="F212" s="2">
        <v>2043.3</v>
      </c>
      <c r="G212" s="2">
        <v>22735.77</v>
      </c>
      <c r="H212" s="2">
        <v>946319.13</v>
      </c>
      <c r="I212" s="2">
        <v>1236</v>
      </c>
      <c r="J212" s="2">
        <v>53013.1</v>
      </c>
      <c r="K212" s="2">
        <v>34661</v>
      </c>
      <c r="L212" s="2">
        <v>153984.57</v>
      </c>
      <c r="M212" s="2">
        <v>31428.32</v>
      </c>
      <c r="N212" s="2"/>
      <c r="O212" s="42">
        <v>12591.14</v>
      </c>
      <c r="P212" s="42"/>
      <c r="Q212" s="42"/>
      <c r="R212" s="42"/>
      <c r="S212" s="42"/>
      <c r="T212" s="42"/>
      <c r="U212" s="16">
        <f t="shared" si="21"/>
        <v>0</v>
      </c>
      <c r="V212" s="45" t="e">
        <f t="shared" si="22"/>
        <v>#DIV/0!</v>
      </c>
    </row>
    <row r="213" spans="1:22" x14ac:dyDescent="0.2">
      <c r="A213" s="3">
        <v>708023</v>
      </c>
      <c r="B213" s="3" t="s">
        <v>418</v>
      </c>
      <c r="C213" s="1">
        <v>784203</v>
      </c>
      <c r="D213" s="1" t="s">
        <v>167</v>
      </c>
      <c r="E213" s="2"/>
      <c r="F213" s="2"/>
      <c r="G213" s="2">
        <v>6681</v>
      </c>
      <c r="H213" s="2"/>
      <c r="I213" s="2">
        <v>1731</v>
      </c>
      <c r="J213" s="2">
        <v>0</v>
      </c>
      <c r="K213" s="2">
        <v>4337.57</v>
      </c>
      <c r="L213" s="2">
        <v>27491.27</v>
      </c>
      <c r="M213" s="2">
        <v>211274.41</v>
      </c>
      <c r="N213" s="42">
        <v>131159.04000000001</v>
      </c>
      <c r="O213" s="42">
        <v>42242.5</v>
      </c>
      <c r="P213" s="42">
        <v>16411.04</v>
      </c>
      <c r="Q213" s="42"/>
      <c r="R213" s="42"/>
      <c r="S213" s="42"/>
      <c r="T213" s="42"/>
      <c r="U213" s="16">
        <f t="shared" si="21"/>
        <v>0</v>
      </c>
      <c r="V213" s="45" t="e">
        <f t="shared" si="22"/>
        <v>#DIV/0!</v>
      </c>
    </row>
    <row r="214" spans="1:22" x14ac:dyDescent="0.2">
      <c r="A214" s="3">
        <v>708061</v>
      </c>
      <c r="B214" s="3" t="s">
        <v>422</v>
      </c>
      <c r="C214" s="1">
        <v>784302</v>
      </c>
      <c r="D214" s="1" t="s">
        <v>168</v>
      </c>
      <c r="E214" s="2"/>
      <c r="F214" s="2"/>
      <c r="G214" s="2">
        <v>3138.4500000000003</v>
      </c>
      <c r="H214" s="2"/>
      <c r="I214" s="2">
        <v>0</v>
      </c>
      <c r="J214" s="2">
        <v>0</v>
      </c>
      <c r="K214" s="2">
        <v>3483.55</v>
      </c>
      <c r="L214" s="2">
        <v>3132.83</v>
      </c>
      <c r="M214" s="2">
        <v>118993.01</v>
      </c>
      <c r="N214" s="42">
        <v>11857.300000000001</v>
      </c>
      <c r="O214" s="42">
        <v>14973.050000000001</v>
      </c>
      <c r="P214" s="42"/>
      <c r="Q214" s="49">
        <v>1884.6299999999999</v>
      </c>
      <c r="R214" s="49"/>
      <c r="S214" s="49"/>
      <c r="T214" s="49"/>
      <c r="U214" s="16">
        <f t="shared" si="21"/>
        <v>0</v>
      </c>
      <c r="V214" s="45" t="e">
        <f t="shared" si="22"/>
        <v>#DIV/0!</v>
      </c>
    </row>
    <row r="215" spans="1:22" x14ac:dyDescent="0.2">
      <c r="A215" s="3">
        <v>708090</v>
      </c>
      <c r="B215" s="3" t="s">
        <v>450</v>
      </c>
      <c r="C215" s="1">
        <v>784303</v>
      </c>
      <c r="D215" s="1" t="s">
        <v>206</v>
      </c>
      <c r="E215" s="2"/>
      <c r="F215" s="2"/>
      <c r="G215" s="2"/>
      <c r="H215" s="2"/>
      <c r="I215" s="2">
        <v>4207</v>
      </c>
      <c r="J215" s="2"/>
      <c r="K215" s="2"/>
      <c r="L215" s="2"/>
      <c r="M215" s="2"/>
      <c r="N215" s="47"/>
      <c r="O215" s="2"/>
      <c r="P215" s="2"/>
      <c r="Q215" s="2"/>
      <c r="R215" s="2"/>
      <c r="S215" s="2"/>
      <c r="T215" s="2"/>
      <c r="U215" s="16">
        <f t="shared" si="21"/>
        <v>0</v>
      </c>
      <c r="V215" s="45" t="e">
        <f t="shared" si="22"/>
        <v>#DIV/0!</v>
      </c>
    </row>
    <row r="216" spans="1:22" x14ac:dyDescent="0.2">
      <c r="A216" s="3">
        <v>708063</v>
      </c>
      <c r="B216" s="3" t="s">
        <v>423</v>
      </c>
      <c r="C216" s="1">
        <v>784304</v>
      </c>
      <c r="D216" s="1" t="s">
        <v>169</v>
      </c>
      <c r="E216" s="2">
        <v>51145</v>
      </c>
      <c r="F216" s="2">
        <v>5424.89</v>
      </c>
      <c r="G216" s="2">
        <v>18478.66</v>
      </c>
      <c r="H216" s="2">
        <v>14747.85</v>
      </c>
      <c r="I216" s="2">
        <v>76007.649999999994</v>
      </c>
      <c r="J216" s="2">
        <v>73609.490000000005</v>
      </c>
      <c r="K216" s="2">
        <v>38326.400000000001</v>
      </c>
      <c r="L216" s="2">
        <v>11788.78</v>
      </c>
      <c r="M216" s="2">
        <v>146695.71</v>
      </c>
      <c r="N216" s="42">
        <v>25157.54</v>
      </c>
      <c r="O216" s="42">
        <v>219970.09000000005</v>
      </c>
      <c r="P216" s="42">
        <v>523.04</v>
      </c>
      <c r="Q216" s="49">
        <v>171</v>
      </c>
      <c r="R216" s="49"/>
      <c r="S216" s="49"/>
      <c r="T216" s="49"/>
      <c r="U216" s="16">
        <f t="shared" si="21"/>
        <v>0</v>
      </c>
      <c r="V216" s="45" t="e">
        <f t="shared" si="22"/>
        <v>#DIV/0!</v>
      </c>
    </row>
    <row r="217" spans="1:22" x14ac:dyDescent="0.2">
      <c r="A217" s="3">
        <v>708060</v>
      </c>
      <c r="B217" s="3" t="s">
        <v>421</v>
      </c>
      <c r="C217" s="1">
        <v>784305</v>
      </c>
      <c r="D217" s="1" t="s">
        <v>207</v>
      </c>
      <c r="E217" s="2"/>
      <c r="F217" s="2"/>
      <c r="G217" s="2"/>
      <c r="H217" s="2"/>
      <c r="I217" s="2"/>
      <c r="J217" s="2"/>
      <c r="K217" s="2">
        <v>16261.01</v>
      </c>
      <c r="L217" s="2"/>
      <c r="M217" s="2"/>
      <c r="N217" s="47"/>
      <c r="O217" s="2"/>
      <c r="P217" s="2"/>
      <c r="Q217" s="2"/>
      <c r="R217" s="2"/>
      <c r="S217" s="2"/>
      <c r="T217" s="2"/>
      <c r="U217" s="16">
        <f t="shared" si="21"/>
        <v>0</v>
      </c>
      <c r="V217" s="45" t="e">
        <f t="shared" si="22"/>
        <v>#DIV/0!</v>
      </c>
    </row>
    <row r="218" spans="1:22" x14ac:dyDescent="0.2">
      <c r="A218" s="3">
        <v>708070</v>
      </c>
      <c r="B218" s="3" t="s">
        <v>424</v>
      </c>
      <c r="C218" s="1">
        <v>784306</v>
      </c>
      <c r="D218" s="1" t="s">
        <v>208</v>
      </c>
      <c r="E218" s="2"/>
      <c r="F218" s="2"/>
      <c r="G218" s="2"/>
      <c r="H218" s="2"/>
      <c r="I218" s="2">
        <v>49626.28</v>
      </c>
      <c r="J218" s="2">
        <v>88680.9</v>
      </c>
      <c r="K218" s="2">
        <v>9682.9500000000007</v>
      </c>
      <c r="L218" s="2">
        <v>136580.10999999999</v>
      </c>
      <c r="M218" s="2">
        <v>23276.2</v>
      </c>
      <c r="N218" s="42">
        <v>130304.69</v>
      </c>
      <c r="O218" s="42">
        <v>404170.8</v>
      </c>
      <c r="P218" s="42"/>
      <c r="Q218" s="42"/>
      <c r="R218" s="42"/>
      <c r="S218" s="42"/>
      <c r="T218" s="42"/>
      <c r="U218" s="16">
        <f t="shared" si="21"/>
        <v>0</v>
      </c>
      <c r="V218" s="45" t="e">
        <f t="shared" si="22"/>
        <v>#DIV/0!</v>
      </c>
    </row>
    <row r="219" spans="1:22" x14ac:dyDescent="0.2">
      <c r="A219" s="3">
        <v>708030</v>
      </c>
      <c r="B219" s="3" t="s">
        <v>419</v>
      </c>
      <c r="C219" s="1">
        <v>784307</v>
      </c>
      <c r="D219" s="1" t="s">
        <v>170</v>
      </c>
      <c r="E219" s="2">
        <v>40477.64</v>
      </c>
      <c r="F219" s="2">
        <v>5593.65</v>
      </c>
      <c r="G219" s="2">
        <v>6256.97</v>
      </c>
      <c r="H219" s="2">
        <v>96432.02</v>
      </c>
      <c r="I219" s="2">
        <v>56581.88</v>
      </c>
      <c r="J219" s="2">
        <v>55651.199999999997</v>
      </c>
      <c r="K219" s="2">
        <v>44643.75</v>
      </c>
      <c r="L219" s="2">
        <v>79955.199999999997</v>
      </c>
      <c r="M219" s="2">
        <v>106392.29000000001</v>
      </c>
      <c r="N219" s="42">
        <v>60129</v>
      </c>
      <c r="O219" s="42">
        <v>11455.61</v>
      </c>
      <c r="P219" s="42">
        <v>24649.84</v>
      </c>
      <c r="Q219" s="49">
        <v>12024.02</v>
      </c>
      <c r="R219" s="49"/>
      <c r="S219" s="49"/>
      <c r="T219" s="49"/>
      <c r="U219" s="16">
        <f t="shared" ref="U219:U235" si="23">T219-S219</f>
        <v>0</v>
      </c>
      <c r="V219" s="45" t="e">
        <f t="shared" ref="V219:V236" si="24">U219/S219</f>
        <v>#DIV/0!</v>
      </c>
    </row>
    <row r="220" spans="1:22" x14ac:dyDescent="0.2">
      <c r="A220" s="3">
        <v>708060</v>
      </c>
      <c r="B220" s="3" t="s">
        <v>421</v>
      </c>
      <c r="C220" s="1">
        <v>784308</v>
      </c>
      <c r="D220" s="1" t="s">
        <v>171</v>
      </c>
      <c r="E220" s="2">
        <v>4739.5400000000009</v>
      </c>
      <c r="F220" s="2">
        <v>7609</v>
      </c>
      <c r="G220" s="2">
        <v>36283.050000000003</v>
      </c>
      <c r="H220" s="2">
        <v>54529.049999999996</v>
      </c>
      <c r="I220" s="2">
        <v>118980.9</v>
      </c>
      <c r="J220" s="2">
        <v>180765</v>
      </c>
      <c r="K220" s="2">
        <v>347294.69</v>
      </c>
      <c r="L220" s="2">
        <v>45246.39</v>
      </c>
      <c r="M220" s="2">
        <v>119428.02</v>
      </c>
      <c r="N220" s="42">
        <v>337990.85000000003</v>
      </c>
      <c r="O220" s="42">
        <v>115306.43</v>
      </c>
      <c r="P220" s="42">
        <v>35982.58</v>
      </c>
      <c r="Q220" s="42"/>
      <c r="R220" s="42"/>
      <c r="S220" s="42"/>
      <c r="T220" s="42"/>
      <c r="U220" s="16">
        <f t="shared" si="23"/>
        <v>0</v>
      </c>
      <c r="V220" s="45" t="e">
        <f t="shared" si="24"/>
        <v>#DIV/0!</v>
      </c>
    </row>
    <row r="221" spans="1:22" x14ac:dyDescent="0.2">
      <c r="A221" s="3">
        <v>708060</v>
      </c>
      <c r="B221" s="3" t="s">
        <v>421</v>
      </c>
      <c r="C221" s="1">
        <v>784309</v>
      </c>
      <c r="D221" s="1" t="s">
        <v>209</v>
      </c>
      <c r="E221" s="2"/>
      <c r="F221" s="2"/>
      <c r="G221" s="2"/>
      <c r="H221" s="2"/>
      <c r="I221" s="2">
        <v>1193.76</v>
      </c>
      <c r="J221" s="2">
        <v>0</v>
      </c>
      <c r="K221" s="2">
        <v>0</v>
      </c>
      <c r="L221" s="2">
        <v>0</v>
      </c>
      <c r="M221" s="2"/>
      <c r="N221" s="42">
        <v>99860.46</v>
      </c>
      <c r="O221" s="42">
        <v>117810.84000000001</v>
      </c>
      <c r="P221" s="42"/>
      <c r="Q221" s="42"/>
      <c r="R221" s="42"/>
      <c r="S221" s="42"/>
      <c r="T221" s="42"/>
      <c r="U221" s="16">
        <f t="shared" si="23"/>
        <v>0</v>
      </c>
      <c r="V221" s="45" t="e">
        <f t="shared" si="24"/>
        <v>#DIV/0!</v>
      </c>
    </row>
    <row r="222" spans="1:22" x14ac:dyDescent="0.2">
      <c r="A222" s="3">
        <v>708040</v>
      </c>
      <c r="B222" s="3" t="s">
        <v>420</v>
      </c>
      <c r="C222" s="1">
        <v>784401</v>
      </c>
      <c r="D222" s="1" t="s">
        <v>172</v>
      </c>
      <c r="E222" s="2">
        <v>1274320.92</v>
      </c>
      <c r="F222" s="2">
        <v>1365007.6800000002</v>
      </c>
      <c r="G222" s="2">
        <v>832592.07000000007</v>
      </c>
      <c r="H222" s="2">
        <v>1225142.23</v>
      </c>
      <c r="I222" s="2">
        <v>1122046.5</v>
      </c>
      <c r="J222" s="2">
        <v>295814.33</v>
      </c>
      <c r="K222" s="2">
        <v>1518889.05</v>
      </c>
      <c r="L222" s="2">
        <v>1243477.72</v>
      </c>
      <c r="M222" s="2">
        <v>1019478.75</v>
      </c>
      <c r="N222" s="42">
        <v>1812901.52</v>
      </c>
      <c r="O222" s="42">
        <v>1120073.1800000002</v>
      </c>
      <c r="P222" s="42">
        <v>1780109.49</v>
      </c>
      <c r="Q222" s="49">
        <v>917063.15</v>
      </c>
      <c r="R222" s="39">
        <v>207867.65000000002</v>
      </c>
      <c r="S222" s="41">
        <v>70718.520000000019</v>
      </c>
      <c r="T222" s="41">
        <v>41748.170000000006</v>
      </c>
      <c r="U222" s="16">
        <f t="shared" si="23"/>
        <v>-28970.350000000013</v>
      </c>
      <c r="V222" s="45">
        <f t="shared" si="24"/>
        <v>-0.40965718739589013</v>
      </c>
    </row>
    <row r="223" spans="1:22" x14ac:dyDescent="0.2">
      <c r="A223" s="3">
        <v>708080</v>
      </c>
      <c r="B223" s="3" t="s">
        <v>451</v>
      </c>
      <c r="C223" s="1">
        <v>784402</v>
      </c>
      <c r="D223" s="1" t="s">
        <v>261</v>
      </c>
      <c r="E223" s="2"/>
      <c r="F223" s="2"/>
      <c r="G223" s="2"/>
      <c r="H223" s="2"/>
      <c r="I223" s="2"/>
      <c r="J223" s="2"/>
      <c r="K223" s="2"/>
      <c r="L223" s="2"/>
      <c r="M223" s="2"/>
      <c r="N223" s="42"/>
      <c r="O223" s="42"/>
      <c r="P223" s="42">
        <v>99.99</v>
      </c>
      <c r="Q223" s="42"/>
      <c r="R223" s="42"/>
      <c r="S223" s="42"/>
      <c r="T223" s="41">
        <v>62400</v>
      </c>
      <c r="U223" s="16">
        <f t="shared" si="23"/>
        <v>62400</v>
      </c>
      <c r="V223" s="45" t="e">
        <f t="shared" si="24"/>
        <v>#DIV/0!</v>
      </c>
    </row>
    <row r="224" spans="1:22" x14ac:dyDescent="0.2">
      <c r="A224" s="3">
        <v>708060</v>
      </c>
      <c r="B224" s="3" t="s">
        <v>421</v>
      </c>
      <c r="C224" s="1">
        <v>784501</v>
      </c>
      <c r="D224" s="1" t="s">
        <v>173</v>
      </c>
      <c r="E224" s="2">
        <v>37196.229999999996</v>
      </c>
      <c r="F224" s="2">
        <v>219131.13</v>
      </c>
      <c r="G224" s="2">
        <v>198149.12000000002</v>
      </c>
      <c r="H224" s="2">
        <v>222799.47000000003</v>
      </c>
      <c r="I224" s="2">
        <v>470863.63</v>
      </c>
      <c r="J224" s="2">
        <v>412873.57</v>
      </c>
      <c r="K224" s="2">
        <v>204875.62</v>
      </c>
      <c r="L224" s="2">
        <v>555580.69999999995</v>
      </c>
      <c r="M224" s="2">
        <v>735271.94</v>
      </c>
      <c r="N224" s="42">
        <v>691266.08</v>
      </c>
      <c r="O224" s="42">
        <v>701186.04</v>
      </c>
      <c r="P224" s="42">
        <v>352040.8</v>
      </c>
      <c r="Q224" s="49">
        <v>553718.39</v>
      </c>
      <c r="R224" s="39">
        <v>263488.71999999997</v>
      </c>
      <c r="S224" s="41">
        <v>163813.32999999999</v>
      </c>
      <c r="T224" s="41">
        <v>201385.85</v>
      </c>
      <c r="U224" s="16">
        <f t="shared" si="23"/>
        <v>37572.520000000019</v>
      </c>
      <c r="V224" s="45">
        <f t="shared" si="24"/>
        <v>0.22936179857890698</v>
      </c>
    </row>
    <row r="225" spans="1:23" x14ac:dyDescent="0.2">
      <c r="A225">
        <v>708100</v>
      </c>
      <c r="B225" t="s">
        <v>468</v>
      </c>
      <c r="C225" s="1"/>
      <c r="D225" s="1"/>
      <c r="E225" s="2"/>
      <c r="F225" s="2"/>
      <c r="G225" s="2"/>
      <c r="H225" s="2"/>
      <c r="I225" s="2"/>
      <c r="J225" s="2"/>
      <c r="K225" s="2"/>
      <c r="L225" s="2"/>
      <c r="M225" s="2"/>
      <c r="N225" s="42"/>
      <c r="O225" s="42"/>
      <c r="P225" s="42"/>
      <c r="Q225" s="49"/>
      <c r="R225" s="36">
        <v>50981.16</v>
      </c>
      <c r="S225" s="41">
        <v>21545.95</v>
      </c>
      <c r="T225" s="41">
        <v>4194.96</v>
      </c>
      <c r="U225" s="16">
        <f t="shared" si="23"/>
        <v>-17350.990000000002</v>
      </c>
      <c r="V225" s="45">
        <f t="shared" si="24"/>
        <v>-0.80530169242943572</v>
      </c>
    </row>
    <row r="226" spans="1:23" x14ac:dyDescent="0.2">
      <c r="A226" s="3">
        <v>708101</v>
      </c>
      <c r="B226" s="3" t="s">
        <v>425</v>
      </c>
      <c r="C226" s="1">
        <v>784502</v>
      </c>
      <c r="D226" s="1" t="s">
        <v>210</v>
      </c>
      <c r="E226" s="2">
        <v>346810.63</v>
      </c>
      <c r="F226" s="2">
        <v>323551.18</v>
      </c>
      <c r="G226" s="2">
        <v>277851.02999999997</v>
      </c>
      <c r="H226" s="2">
        <v>276570.67000000004</v>
      </c>
      <c r="I226" s="2">
        <v>115223.37</v>
      </c>
      <c r="J226" s="2">
        <v>199769.02</v>
      </c>
      <c r="K226" s="2">
        <v>119958.84</v>
      </c>
      <c r="L226" s="2">
        <v>87349.87</v>
      </c>
      <c r="M226" s="2">
        <v>66254.990000000005</v>
      </c>
      <c r="N226" s="42">
        <v>52627.44</v>
      </c>
      <c r="O226" s="42">
        <v>57587.64</v>
      </c>
      <c r="P226" s="42">
        <v>58393.22</v>
      </c>
      <c r="Q226" s="49">
        <v>28491.670000000002</v>
      </c>
      <c r="R226" s="49"/>
      <c r="S226" s="49"/>
      <c r="T226" s="49"/>
      <c r="U226" s="16">
        <f t="shared" si="23"/>
        <v>0</v>
      </c>
      <c r="V226" s="45" t="e">
        <f t="shared" si="24"/>
        <v>#DIV/0!</v>
      </c>
    </row>
    <row r="227" spans="1:23" x14ac:dyDescent="0.2">
      <c r="A227" s="3">
        <v>708102</v>
      </c>
      <c r="B227" s="3" t="s">
        <v>426</v>
      </c>
      <c r="C227" s="1">
        <v>784503</v>
      </c>
      <c r="D227" s="1" t="s">
        <v>211</v>
      </c>
      <c r="E227" s="2">
        <v>16798.45</v>
      </c>
      <c r="F227" s="2">
        <v>25445.920000000002</v>
      </c>
      <c r="G227" s="2">
        <v>21645.62</v>
      </c>
      <c r="H227" s="2">
        <v>21867.68</v>
      </c>
      <c r="I227" s="2">
        <v>10035.34</v>
      </c>
      <c r="J227" s="2">
        <v>34803.56</v>
      </c>
      <c r="K227" s="2">
        <v>15590.66</v>
      </c>
      <c r="L227" s="2">
        <v>7029.9000000000005</v>
      </c>
      <c r="M227" s="2">
        <v>11771</v>
      </c>
      <c r="N227" s="42">
        <v>6146.14</v>
      </c>
      <c r="O227" s="42">
        <v>20454.039999999997</v>
      </c>
      <c r="P227" s="42">
        <v>3689.64</v>
      </c>
      <c r="Q227" s="49">
        <v>1426.82</v>
      </c>
      <c r="R227" s="49"/>
      <c r="S227" s="49"/>
      <c r="T227" s="49"/>
      <c r="U227" s="16">
        <f t="shared" si="23"/>
        <v>0</v>
      </c>
      <c r="V227" s="45" t="e">
        <f t="shared" si="24"/>
        <v>#DIV/0!</v>
      </c>
    </row>
    <row r="228" spans="1:23" x14ac:dyDescent="0.2">
      <c r="A228" s="3">
        <v>708103</v>
      </c>
      <c r="B228" s="3" t="s">
        <v>427</v>
      </c>
      <c r="C228" s="1">
        <v>784504</v>
      </c>
      <c r="D228" s="1" t="s">
        <v>212</v>
      </c>
      <c r="E228" s="2">
        <v>1009289.86</v>
      </c>
      <c r="F228" s="2">
        <v>1059338.99</v>
      </c>
      <c r="G228" s="2">
        <v>1130463.2400000002</v>
      </c>
      <c r="H228" s="2">
        <v>1433316.9100000001</v>
      </c>
      <c r="I228" s="2">
        <v>1397130.72</v>
      </c>
      <c r="J228" s="2">
        <v>1383742.22</v>
      </c>
      <c r="K228" s="2">
        <v>981420.24</v>
      </c>
      <c r="L228" s="2">
        <v>1292800.55</v>
      </c>
      <c r="M228" s="2">
        <v>1272791.8</v>
      </c>
      <c r="N228" s="42">
        <v>1292995.3</v>
      </c>
      <c r="O228" s="42">
        <v>1239363.2200000002</v>
      </c>
      <c r="P228" s="42">
        <v>1117362.3500000001</v>
      </c>
      <c r="Q228" s="49">
        <v>1098180.1499999999</v>
      </c>
      <c r="R228" s="49"/>
      <c r="S228" s="49"/>
      <c r="T228" s="49"/>
      <c r="U228" s="16">
        <f t="shared" si="23"/>
        <v>0</v>
      </c>
      <c r="V228" s="45" t="e">
        <f t="shared" si="24"/>
        <v>#DIV/0!</v>
      </c>
    </row>
    <row r="229" spans="1:23" x14ac:dyDescent="0.2">
      <c r="A229" s="3">
        <v>708021</v>
      </c>
      <c r="B229" s="3" t="s">
        <v>417</v>
      </c>
      <c r="C229" s="1">
        <v>784604</v>
      </c>
      <c r="D229" s="1" t="s">
        <v>174</v>
      </c>
      <c r="E229" s="2"/>
      <c r="F229" s="2"/>
      <c r="G229" s="2"/>
      <c r="H229" s="2"/>
      <c r="I229" s="2"/>
      <c r="J229" s="2"/>
      <c r="K229" s="2"/>
      <c r="L229" s="2"/>
      <c r="M229" s="2"/>
      <c r="N229" s="42">
        <v>34322.559999999998</v>
      </c>
      <c r="O229" s="42">
        <v>39286.740000000005</v>
      </c>
      <c r="P229" s="42"/>
      <c r="Q229" s="42"/>
      <c r="R229" s="42"/>
      <c r="S229" s="42"/>
      <c r="T229" s="42"/>
      <c r="U229" s="16">
        <f t="shared" si="23"/>
        <v>0</v>
      </c>
      <c r="V229" s="45" t="e">
        <f t="shared" si="24"/>
        <v>#DIV/0!</v>
      </c>
    </row>
    <row r="230" spans="1:23" x14ac:dyDescent="0.2">
      <c r="A230" s="72">
        <v>713010</v>
      </c>
      <c r="B230" s="72" t="s">
        <v>479</v>
      </c>
      <c r="C230" s="72"/>
      <c r="D230" s="72"/>
      <c r="E230" s="2"/>
      <c r="F230" s="2"/>
      <c r="G230" s="2"/>
      <c r="H230" s="2"/>
      <c r="I230" s="2"/>
      <c r="J230" s="2"/>
      <c r="K230" s="2"/>
      <c r="L230" s="2"/>
      <c r="M230" s="2"/>
      <c r="N230" s="42"/>
      <c r="O230" s="42"/>
      <c r="P230" s="42"/>
      <c r="Q230" s="42"/>
      <c r="R230" s="42"/>
      <c r="S230" s="42"/>
      <c r="T230" s="48">
        <f>-3438665+3438665</f>
        <v>0</v>
      </c>
      <c r="U230" s="16">
        <f t="shared" si="23"/>
        <v>0</v>
      </c>
      <c r="V230" s="45" t="e">
        <f t="shared" si="24"/>
        <v>#DIV/0!</v>
      </c>
    </row>
    <row r="231" spans="1:23" x14ac:dyDescent="0.2">
      <c r="A231" s="3">
        <v>802000</v>
      </c>
      <c r="B231" s="3" t="s">
        <v>469</v>
      </c>
      <c r="C231" s="1">
        <v>821100</v>
      </c>
      <c r="D231" s="1" t="s">
        <v>470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>
        <v>5639829.6399999997</v>
      </c>
      <c r="S231" s="2">
        <v>4686090.33</v>
      </c>
      <c r="T231" s="2"/>
      <c r="U231" s="16">
        <f t="shared" si="23"/>
        <v>-4686090.33</v>
      </c>
      <c r="V231" s="45">
        <f t="shared" si="24"/>
        <v>-1</v>
      </c>
      <c r="W231" s="74" t="s">
        <v>471</v>
      </c>
    </row>
    <row r="232" spans="1:23" x14ac:dyDescent="0.2">
      <c r="A232" s="3">
        <v>802403</v>
      </c>
      <c r="B232" s="3" t="s">
        <v>461</v>
      </c>
      <c r="C232" s="3">
        <v>822290</v>
      </c>
      <c r="D232" s="3" t="s">
        <v>224</v>
      </c>
      <c r="E232" s="2"/>
      <c r="F232" s="2"/>
      <c r="G232" s="2"/>
      <c r="H232" s="2"/>
      <c r="I232" s="2"/>
      <c r="J232" s="2"/>
      <c r="K232" s="2"/>
      <c r="L232" s="2">
        <v>-1571256.16</v>
      </c>
      <c r="M232" s="2"/>
      <c r="N232" s="2"/>
      <c r="O232" s="2"/>
      <c r="P232" s="2"/>
      <c r="Q232" s="2"/>
      <c r="R232" s="2"/>
      <c r="S232" s="2"/>
      <c r="T232" s="2"/>
      <c r="U232" s="16">
        <f t="shared" si="23"/>
        <v>0</v>
      </c>
      <c r="V232" s="45" t="e">
        <f t="shared" si="24"/>
        <v>#DIV/0!</v>
      </c>
    </row>
    <row r="233" spans="1:23" x14ac:dyDescent="0.2">
      <c r="A233" s="3">
        <v>802403</v>
      </c>
      <c r="B233" s="3" t="s">
        <v>461</v>
      </c>
      <c r="C233" s="3">
        <v>822290</v>
      </c>
      <c r="D233" s="3" t="s">
        <v>222</v>
      </c>
      <c r="E233" s="4"/>
      <c r="F233" s="4"/>
      <c r="G233" s="4"/>
      <c r="H233" s="4"/>
      <c r="I233" s="4"/>
      <c r="J233" s="4"/>
      <c r="K233" s="4"/>
      <c r="L233" s="4">
        <v>-160877.5</v>
      </c>
      <c r="M233" s="4"/>
      <c r="N233" s="4"/>
      <c r="O233" s="4"/>
      <c r="P233" s="4"/>
      <c r="Q233" s="4"/>
      <c r="R233" s="4"/>
      <c r="S233" s="4"/>
      <c r="T233" s="4"/>
      <c r="U233" s="16">
        <f t="shared" si="23"/>
        <v>0</v>
      </c>
      <c r="V233" s="45" t="e">
        <f t="shared" si="24"/>
        <v>#DIV/0!</v>
      </c>
    </row>
    <row r="234" spans="1:23" x14ac:dyDescent="0.2">
      <c r="A234" s="3">
        <v>802403</v>
      </c>
      <c r="B234" s="3" t="s">
        <v>461</v>
      </c>
      <c r="C234" s="3">
        <v>822290</v>
      </c>
      <c r="D234" s="3" t="s">
        <v>223</v>
      </c>
      <c r="E234" s="2"/>
      <c r="F234" s="2"/>
      <c r="G234" s="2"/>
      <c r="H234" s="2"/>
      <c r="I234" s="2"/>
      <c r="J234" s="2"/>
      <c r="K234" s="2"/>
      <c r="L234" s="2">
        <v>-9385.76</v>
      </c>
      <c r="M234" s="2"/>
      <c r="N234" s="2"/>
      <c r="O234" s="2"/>
      <c r="P234" s="2"/>
      <c r="Q234" s="2"/>
      <c r="R234" s="2"/>
      <c r="S234" s="2"/>
      <c r="T234" s="2"/>
      <c r="U234" s="16">
        <f t="shared" si="23"/>
        <v>0</v>
      </c>
      <c r="V234" s="45" t="e">
        <f t="shared" si="24"/>
        <v>#DIV/0!</v>
      </c>
    </row>
    <row r="235" spans="1:23" x14ac:dyDescent="0.2">
      <c r="C235" s="3" t="s">
        <v>234</v>
      </c>
      <c r="D235" s="3" t="s">
        <v>235</v>
      </c>
      <c r="E235" s="4"/>
      <c r="F235" s="4"/>
      <c r="G235" s="4"/>
      <c r="H235" s="4"/>
      <c r="I235" s="4">
        <v>-71406.47</v>
      </c>
      <c r="J235" s="4">
        <v>-116567.82</v>
      </c>
      <c r="K235" s="4">
        <v>-70494.42</v>
      </c>
      <c r="L235" s="4">
        <v>-191740.68</v>
      </c>
      <c r="M235" s="4">
        <v>-546965.31000000006</v>
      </c>
      <c r="N235" s="4">
        <v>-1131671.3600000001</v>
      </c>
      <c r="O235" s="4">
        <v>-1272483.04</v>
      </c>
      <c r="P235" s="4">
        <v>-23127.19</v>
      </c>
      <c r="Q235" s="4"/>
      <c r="R235" s="4"/>
      <c r="S235" s="4"/>
      <c r="T235" s="4"/>
      <c r="U235" s="16">
        <f t="shared" si="23"/>
        <v>0</v>
      </c>
      <c r="V235" s="45" t="e">
        <f t="shared" si="24"/>
        <v>#DIV/0!</v>
      </c>
    </row>
    <row r="236" spans="1:23" x14ac:dyDescent="0.2">
      <c r="D236" s="5" t="s">
        <v>233</v>
      </c>
      <c r="E236" s="11">
        <f t="shared" ref="E236:O236" si="25">SUM(E91:E235)</f>
        <v>4845193.34</v>
      </c>
      <c r="F236" s="11">
        <f t="shared" si="25"/>
        <v>5320794.41</v>
      </c>
      <c r="G236" s="11">
        <f t="shared" si="25"/>
        <v>5164739.0500000007</v>
      </c>
      <c r="H236" s="11">
        <f t="shared" si="25"/>
        <v>7757907.1199999964</v>
      </c>
      <c r="I236" s="11">
        <f t="shared" si="25"/>
        <v>5454699.8399999999</v>
      </c>
      <c r="J236" s="11">
        <f t="shared" si="25"/>
        <v>5076315.08</v>
      </c>
      <c r="K236" s="11">
        <f t="shared" si="25"/>
        <v>5249805.92</v>
      </c>
      <c r="L236" s="11">
        <f t="shared" si="25"/>
        <v>3674542.0900000012</v>
      </c>
      <c r="M236" s="11">
        <f t="shared" si="25"/>
        <v>5522279.7700000014</v>
      </c>
      <c r="N236" s="11">
        <f t="shared" si="25"/>
        <v>6421855.7399999993</v>
      </c>
      <c r="O236" s="11">
        <f t="shared" si="25"/>
        <v>5861078.2200000016</v>
      </c>
      <c r="P236" s="11">
        <f t="shared" ref="P236:U236" si="26">SUM(P90:P235)</f>
        <v>6028361.379999998</v>
      </c>
      <c r="Q236" s="11">
        <f t="shared" si="26"/>
        <v>5522139.7799999993</v>
      </c>
      <c r="R236" s="11">
        <f t="shared" si="26"/>
        <v>9896797.7100000009</v>
      </c>
      <c r="S236" s="11">
        <f t="shared" si="26"/>
        <v>8179325.1000000024</v>
      </c>
      <c r="T236" s="11">
        <f t="shared" si="26"/>
        <v>2981301.3400000003</v>
      </c>
      <c r="U236" s="20">
        <f t="shared" si="26"/>
        <v>-5198023.76</v>
      </c>
      <c r="V236" s="45">
        <f t="shared" si="24"/>
        <v>-0.63550766065038766</v>
      </c>
    </row>
    <row r="237" spans="1:23" x14ac:dyDescent="0.2">
      <c r="U237" s="16"/>
      <c r="V237" s="45"/>
    </row>
    <row r="238" spans="1:23" x14ac:dyDescent="0.2">
      <c r="C238" s="3" t="s">
        <v>218</v>
      </c>
      <c r="I238" s="4">
        <v>2439904.0699999998</v>
      </c>
      <c r="J238" s="4">
        <v>2641620.98</v>
      </c>
      <c r="K238" s="4">
        <v>2027900.9</v>
      </c>
      <c r="L238" s="4">
        <v>1733560.77</v>
      </c>
      <c r="M238" s="4">
        <v>1783409.22</v>
      </c>
      <c r="N238" s="4">
        <f t="shared" ref="N238:S238" si="27">N11</f>
        <v>1861852.51</v>
      </c>
      <c r="O238" s="4">
        <f t="shared" si="27"/>
        <v>1500268.6</v>
      </c>
      <c r="P238" s="4">
        <f t="shared" si="27"/>
        <v>1592808.88</v>
      </c>
      <c r="Q238" s="4">
        <f t="shared" si="27"/>
        <v>2076163.12</v>
      </c>
      <c r="R238" s="4">
        <f t="shared" si="27"/>
        <v>2551744.2599999998</v>
      </c>
      <c r="S238" s="4">
        <f t="shared" si="27"/>
        <v>1533590.85</v>
      </c>
      <c r="T238" s="4">
        <f t="shared" ref="T238" si="28">T11</f>
        <v>1575788.42</v>
      </c>
      <c r="U238" s="16">
        <f t="shared" ref="U238" si="29">T238-S238</f>
        <v>42197.569999999832</v>
      </c>
      <c r="V238" s="45">
        <f t="shared" ref="V238" si="30">U238/S238</f>
        <v>2.7515533233652138E-2</v>
      </c>
    </row>
    <row r="239" spans="1:23" x14ac:dyDescent="0.2">
      <c r="U239" s="16"/>
      <c r="V239" s="45"/>
    </row>
    <row r="240" spans="1:23" x14ac:dyDescent="0.2">
      <c r="C240" s="3" t="s">
        <v>219</v>
      </c>
      <c r="I240" s="4">
        <v>1434082.84</v>
      </c>
      <c r="J240" s="4">
        <v>1461302.29</v>
      </c>
      <c r="K240" s="4">
        <v>1402261.02</v>
      </c>
      <c r="L240" s="4">
        <v>1126599.72</v>
      </c>
      <c r="M240" s="4">
        <v>1282441.79</v>
      </c>
      <c r="N240" s="4">
        <f t="shared" ref="N240:S240" si="31">N12</f>
        <v>1282873.95</v>
      </c>
      <c r="O240" s="4">
        <f t="shared" si="31"/>
        <v>1481476.97</v>
      </c>
      <c r="P240" s="4">
        <f t="shared" si="31"/>
        <v>1512765.67</v>
      </c>
      <c r="Q240" s="4">
        <f t="shared" si="31"/>
        <v>1441197.41</v>
      </c>
      <c r="R240" s="4">
        <f t="shared" si="31"/>
        <v>1427089.69</v>
      </c>
      <c r="S240" s="4">
        <f t="shared" si="31"/>
        <v>1380883.53</v>
      </c>
      <c r="T240" s="4">
        <f t="shared" ref="T240" si="32">T12</f>
        <v>1254401.58</v>
      </c>
      <c r="U240" s="16">
        <f t="shared" ref="U240" si="33">T240-S240</f>
        <v>-126481.94999999995</v>
      </c>
      <c r="V240" s="45">
        <f t="shared" ref="V240:V242" si="34">U240/S240</f>
        <v>-9.1594944289037861E-2</v>
      </c>
    </row>
    <row r="241" spans="3:22" x14ac:dyDescent="0.2">
      <c r="U241" s="16"/>
      <c r="V241" s="45"/>
    </row>
    <row r="242" spans="3:22" ht="13.5" thickBot="1" x14ac:dyDescent="0.25">
      <c r="D242" s="14" t="s">
        <v>2</v>
      </c>
      <c r="E242" s="10">
        <f t="shared" ref="E242:U242" si="35">E89+E236+SUM(E237:E241)</f>
        <v>17354780.600000001</v>
      </c>
      <c r="F242" s="10">
        <f t="shared" si="35"/>
        <v>18266113.560000002</v>
      </c>
      <c r="G242" s="10">
        <f t="shared" si="35"/>
        <v>18709140.400000002</v>
      </c>
      <c r="H242" s="10">
        <f t="shared" si="35"/>
        <v>21949270.589999996</v>
      </c>
      <c r="I242" s="10">
        <f t="shared" si="35"/>
        <v>21333325.960000005</v>
      </c>
      <c r="J242" s="10">
        <f t="shared" si="35"/>
        <v>21842626.66</v>
      </c>
      <c r="K242" s="10">
        <f t="shared" si="35"/>
        <v>21097434.759999998</v>
      </c>
      <c r="L242" s="10">
        <f t="shared" si="35"/>
        <v>16521243.870000001</v>
      </c>
      <c r="M242" s="10">
        <f t="shared" si="35"/>
        <v>19710926.609999999</v>
      </c>
      <c r="N242" s="10">
        <f t="shared" si="35"/>
        <v>21675276.310000002</v>
      </c>
      <c r="O242" s="10">
        <f t="shared" si="35"/>
        <v>22265177.100000001</v>
      </c>
      <c r="P242" s="10">
        <f t="shared" si="35"/>
        <v>22546032.210000001</v>
      </c>
      <c r="Q242" s="10">
        <f t="shared" si="35"/>
        <v>22374896.48</v>
      </c>
      <c r="R242" s="10">
        <f t="shared" si="35"/>
        <v>27616379.850000001</v>
      </c>
      <c r="S242" s="10">
        <f t="shared" si="35"/>
        <v>25406012.550000001</v>
      </c>
      <c r="T242" s="10">
        <f t="shared" ref="T242" si="36">T89+T236+SUM(T237:T241)</f>
        <v>19638470.420000002</v>
      </c>
      <c r="U242" s="21">
        <f t="shared" si="35"/>
        <v>-5767542.1299999999</v>
      </c>
      <c r="V242" s="45">
        <f t="shared" si="34"/>
        <v>-0.22701485007335398</v>
      </c>
    </row>
    <row r="243" spans="3:22" ht="13.5" thickTop="1" x14ac:dyDescent="0.2"/>
    <row r="244" spans="3:22" x14ac:dyDescent="0.2">
      <c r="C244" s="3" t="s">
        <v>220</v>
      </c>
    </row>
    <row r="245" spans="3:22" x14ac:dyDescent="0.2">
      <c r="C245" s="3" t="s">
        <v>221</v>
      </c>
    </row>
    <row r="247" spans="3:22" x14ac:dyDescent="0.2">
      <c r="C247" s="12" t="s">
        <v>482</v>
      </c>
    </row>
  </sheetData>
  <phoneticPr fontId="10" type="noConversion"/>
  <pageMargins left="0" right="0" top="0" bottom="0.5" header="0" footer="0"/>
  <pageSetup paperSize="5" scale="89" fitToHeight="20" orientation="landscape" r:id="rId1"/>
  <headerFooter>
    <oddFooter>&amp;R&amp;8Page &amp;P of &amp;N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V247"/>
  <sheetViews>
    <sheetView zoomScaleNormal="100" workbookViewId="0">
      <pane xSplit="4" ySplit="7" topLeftCell="R209" activePane="bottomRight" state="frozen"/>
      <selection pane="topRight" activeCell="C1" sqref="C1"/>
      <selection pane="bottomLeft" activeCell="A8" sqref="A8"/>
      <selection pane="bottomRight" activeCell="V223" sqref="V223"/>
    </sheetView>
  </sheetViews>
  <sheetFormatPr defaultColWidth="9.140625" defaultRowHeight="12.75" x14ac:dyDescent="0.2"/>
  <cols>
    <col min="1" max="1" width="9.140625" style="3"/>
    <col min="2" max="2" width="36.85546875" style="3" bestFit="1" customWidth="1"/>
    <col min="3" max="3" width="8.85546875" style="3" customWidth="1"/>
    <col min="4" max="4" width="28.140625" style="3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14.570312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242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13326964.390000001</v>
      </c>
      <c r="F9" s="4">
        <v>14504336.57</v>
      </c>
      <c r="G9" s="4">
        <v>15571568.529999999</v>
      </c>
      <c r="H9" s="4">
        <v>16635255.17</v>
      </c>
      <c r="I9" s="4">
        <v>15829284.93</v>
      </c>
      <c r="J9" s="4">
        <v>16578966.689999999</v>
      </c>
      <c r="K9" s="4">
        <v>16797577.620000001</v>
      </c>
      <c r="L9" s="4">
        <v>17239471.199999999</v>
      </c>
      <c r="M9" s="4">
        <v>19205409.760000002</v>
      </c>
      <c r="N9" s="4">
        <v>21001923.699999999</v>
      </c>
      <c r="O9" s="4">
        <v>23260967.600000001</v>
      </c>
      <c r="P9" s="4">
        <f>14689305.57+8488730.17</f>
        <v>23178035.740000002</v>
      </c>
      <c r="Q9" s="4">
        <f>14172453.72+8585276.05</f>
        <v>22757729.770000003</v>
      </c>
      <c r="R9" s="4">
        <f>14911152.63+9906018.4</f>
        <v>24817171.030000001</v>
      </c>
      <c r="S9" s="4">
        <f>16397728.59+10770560.07</f>
        <v>27168288.66</v>
      </c>
      <c r="T9" s="4">
        <f>15899772.53+11343829.73</f>
        <v>27243602.259999998</v>
      </c>
      <c r="U9" s="16">
        <f>T9-S9</f>
        <v>75313.599999997765</v>
      </c>
      <c r="V9" s="45">
        <f>U9/S9</f>
        <v>2.772114244754854E-3</v>
      </c>
    </row>
    <row r="10" spans="1:22" x14ac:dyDescent="0.2">
      <c r="C10" s="3" t="s">
        <v>1</v>
      </c>
      <c r="E10" s="4">
        <v>2500104.7999999998</v>
      </c>
      <c r="F10" s="4">
        <v>2972991.91</v>
      </c>
      <c r="G10" s="4">
        <v>3079026.37</v>
      </c>
      <c r="H10" s="4">
        <v>2784240.32</v>
      </c>
      <c r="I10" s="4">
        <v>2993761.15</v>
      </c>
      <c r="J10" s="4">
        <v>3600009.79</v>
      </c>
      <c r="K10" s="4">
        <v>3423477.21</v>
      </c>
      <c r="L10" s="4">
        <v>3807197.61</v>
      </c>
      <c r="M10" s="4">
        <v>3421170.58</v>
      </c>
      <c r="N10" s="4">
        <v>3144459.21</v>
      </c>
      <c r="O10" s="4">
        <v>3514026.7</v>
      </c>
      <c r="P10" s="4">
        <v>3478538.53</v>
      </c>
      <c r="Q10" s="4">
        <v>4390889.4000000004</v>
      </c>
      <c r="R10" s="4">
        <v>4049146.61</v>
      </c>
      <c r="S10" s="4">
        <f>7198341.29</f>
        <v>7198341.29</v>
      </c>
      <c r="T10" s="4">
        <v>2425023.85</v>
      </c>
      <c r="U10" s="16">
        <f t="shared" ref="U10:U12" si="0">T10-S10</f>
        <v>-4773317.4399999995</v>
      </c>
      <c r="V10" s="45">
        <f t="shared" ref="V10:V13" si="1">U10/S10</f>
        <v>-0.66311352125400536</v>
      </c>
    </row>
    <row r="11" spans="1:22" x14ac:dyDescent="0.2">
      <c r="C11" s="3" t="s">
        <v>218</v>
      </c>
      <c r="E11" s="4"/>
      <c r="F11" s="4"/>
      <c r="G11" s="4"/>
      <c r="H11" s="4"/>
      <c r="I11" s="4">
        <v>3218264.69</v>
      </c>
      <c r="J11" s="4">
        <v>3458430.98</v>
      </c>
      <c r="K11" s="4">
        <v>2743218.32</v>
      </c>
      <c r="L11" s="4">
        <v>2992594.75</v>
      </c>
      <c r="M11" s="4">
        <v>3049473.12</v>
      </c>
      <c r="N11" s="4">
        <v>3184283.43</v>
      </c>
      <c r="O11" s="4">
        <v>2576827.6</v>
      </c>
      <c r="P11" s="4">
        <v>2748321.54</v>
      </c>
      <c r="Q11" s="4">
        <v>3543108.78</v>
      </c>
      <c r="R11" s="4">
        <v>4608706.37</v>
      </c>
      <c r="S11" s="4">
        <v>2911152.78</v>
      </c>
      <c r="T11" s="4">
        <v>3104810.72</v>
      </c>
      <c r="U11" s="16">
        <f t="shared" si="0"/>
        <v>193657.94000000041</v>
      </c>
      <c r="V11" s="45">
        <f t="shared" si="1"/>
        <v>6.6522767657697587E-2</v>
      </c>
    </row>
    <row r="12" spans="1:22" x14ac:dyDescent="0.2">
      <c r="C12" s="3" t="s">
        <v>219</v>
      </c>
      <c r="E12" s="4"/>
      <c r="F12" s="4"/>
      <c r="G12" s="4"/>
      <c r="H12" s="4"/>
      <c r="I12" s="4">
        <v>1891573.62</v>
      </c>
      <c r="J12" s="4">
        <v>1913148.46</v>
      </c>
      <c r="K12" s="4">
        <v>1896891.57</v>
      </c>
      <c r="L12" s="4">
        <v>1944815.81</v>
      </c>
      <c r="M12" s="4">
        <v>2192862.83</v>
      </c>
      <c r="N12" s="4">
        <v>2194069.73</v>
      </c>
      <c r="O12" s="4">
        <v>2544551.5099999998</v>
      </c>
      <c r="P12" s="4">
        <v>2610210.52</v>
      </c>
      <c r="Q12" s="4">
        <v>2459498.0699999998</v>
      </c>
      <c r="R12" s="4">
        <v>2577467.2799999998</v>
      </c>
      <c r="S12" s="4">
        <v>2621274.7200000002</v>
      </c>
      <c r="T12" s="4">
        <v>2471575.15</v>
      </c>
      <c r="U12" s="16">
        <f t="shared" si="0"/>
        <v>-149699.5700000003</v>
      </c>
      <c r="V12" s="45">
        <f t="shared" si="1"/>
        <v>-5.7109454746506041E-2</v>
      </c>
    </row>
    <row r="13" spans="1:22" ht="13.5" thickBot="1" x14ac:dyDescent="0.25">
      <c r="C13" s="3" t="s">
        <v>2</v>
      </c>
      <c r="E13" s="10">
        <f t="shared" ref="E13:U13" si="2">SUM(E9:E12)</f>
        <v>15827069.190000001</v>
      </c>
      <c r="F13" s="10">
        <f t="shared" si="2"/>
        <v>17477328.48</v>
      </c>
      <c r="G13" s="10">
        <f t="shared" si="2"/>
        <v>18650594.899999999</v>
      </c>
      <c r="H13" s="10">
        <f t="shared" si="2"/>
        <v>19419495.489999998</v>
      </c>
      <c r="I13" s="10">
        <f t="shared" si="2"/>
        <v>23932884.390000001</v>
      </c>
      <c r="J13" s="10">
        <f t="shared" si="2"/>
        <v>25550555.920000002</v>
      </c>
      <c r="K13" s="10">
        <f t="shared" si="2"/>
        <v>24861164.720000003</v>
      </c>
      <c r="L13" s="10">
        <f t="shared" si="2"/>
        <v>25984079.369999997</v>
      </c>
      <c r="M13" s="10">
        <f t="shared" si="2"/>
        <v>27868916.290000007</v>
      </c>
      <c r="N13" s="10">
        <f t="shared" si="2"/>
        <v>29524736.07</v>
      </c>
      <c r="O13" s="10">
        <f t="shared" si="2"/>
        <v>31896373.410000004</v>
      </c>
      <c r="P13" s="10">
        <f t="shared" si="2"/>
        <v>32015106.330000002</v>
      </c>
      <c r="Q13" s="10">
        <f t="shared" si="2"/>
        <v>33151226.020000003</v>
      </c>
      <c r="R13" s="10">
        <f t="shared" si="2"/>
        <v>36052491.289999999</v>
      </c>
      <c r="S13" s="10">
        <f t="shared" si="2"/>
        <v>39899057.450000003</v>
      </c>
      <c r="T13" s="10">
        <f t="shared" si="2"/>
        <v>35245011.979999997</v>
      </c>
      <c r="U13" s="21">
        <f t="shared" si="2"/>
        <v>-4654045.4700000016</v>
      </c>
      <c r="V13" s="45">
        <f t="shared" si="1"/>
        <v>-0.11664549910313736</v>
      </c>
    </row>
    <row r="14" spans="1:22" ht="13.5" thickTop="1" x14ac:dyDescent="0.2">
      <c r="U14" s="16"/>
    </row>
    <row r="15" spans="1:22" x14ac:dyDescent="0.2">
      <c r="C15" s="8" t="s">
        <v>243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2">
        <v>3167208.5799999991</v>
      </c>
      <c r="F18" s="22">
        <v>3245729.8799999994</v>
      </c>
      <c r="G18" s="22">
        <v>3292430.9000000004</v>
      </c>
      <c r="H18" s="22">
        <v>3476074.66</v>
      </c>
      <c r="I18" s="22">
        <v>2950481.3900000006</v>
      </c>
      <c r="J18" s="22">
        <v>3224502.67</v>
      </c>
      <c r="K18" s="22">
        <v>3478679.7100000004</v>
      </c>
      <c r="L18" s="22">
        <v>3639888.1799999992</v>
      </c>
      <c r="M18" s="22">
        <v>4916765.9000000004</v>
      </c>
      <c r="N18" s="42">
        <v>6142961.7599999998</v>
      </c>
      <c r="O18" s="48">
        <f>6928805.12+620793.32+0.04</f>
        <v>7549598.4800000004</v>
      </c>
      <c r="P18" s="48">
        <f>6715682.19+569804.58</f>
        <v>7285486.7700000005</v>
      </c>
      <c r="Q18" s="49">
        <f>6431527.97+552585.23</f>
        <v>6984113.1999999993</v>
      </c>
      <c r="R18" s="39">
        <f>10330822.96+1131343.92</f>
        <v>11462166.880000001</v>
      </c>
      <c r="S18" s="41">
        <f>11217079.77+1372793.05</f>
        <v>12589872.82</v>
      </c>
      <c r="T18" s="41">
        <f>11415171.62+1367163.76</f>
        <v>12782335.379999999</v>
      </c>
      <c r="U18" s="16">
        <f t="shared" ref="U18" si="3">T18-S18</f>
        <v>192462.55999999866</v>
      </c>
      <c r="V18" s="45">
        <f t="shared" ref="V18" si="4">U18/S18</f>
        <v>1.5287093265490085E-2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2">
        <v>166116.65</v>
      </c>
      <c r="F19" s="22">
        <v>167955.72</v>
      </c>
      <c r="G19" s="22">
        <v>175664.90000000002</v>
      </c>
      <c r="H19" s="22">
        <v>180258.35</v>
      </c>
      <c r="I19" s="22">
        <v>77197.350000000006</v>
      </c>
      <c r="J19" s="22">
        <v>79219.520000000004</v>
      </c>
      <c r="K19" s="22">
        <v>79623.67</v>
      </c>
      <c r="L19" s="22">
        <v>79015.839999999997</v>
      </c>
      <c r="M19" s="22">
        <v>81362.47</v>
      </c>
      <c r="N19" s="42">
        <v>84993.24</v>
      </c>
      <c r="O19" s="48">
        <v>87845.2</v>
      </c>
      <c r="P19" s="48">
        <v>85818.44</v>
      </c>
      <c r="Q19" s="49">
        <v>797.01</v>
      </c>
      <c r="R19" s="49"/>
      <c r="S19" s="49"/>
      <c r="T19" s="49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2"/>
      <c r="F20" s="22"/>
      <c r="G20" s="22"/>
      <c r="H20" s="22"/>
      <c r="I20" s="22"/>
      <c r="J20" s="22"/>
      <c r="K20" s="22">
        <v>807.7</v>
      </c>
      <c r="L20" s="22">
        <v>7307.78</v>
      </c>
      <c r="M20" s="22">
        <v>9737.5400000000009</v>
      </c>
      <c r="N20" s="42">
        <v>13379.29</v>
      </c>
      <c r="O20" s="48">
        <f>20540.04+574.34</f>
        <v>21114.38</v>
      </c>
      <c r="P20" s="48">
        <v>118829.62</v>
      </c>
      <c r="Q20" s="49">
        <v>24072.38</v>
      </c>
      <c r="R20" s="49"/>
      <c r="S20" s="49"/>
      <c r="T20" s="49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2">
        <v>158728.40000000002</v>
      </c>
      <c r="F21" s="22">
        <v>163301.28999999998</v>
      </c>
      <c r="G21" s="22">
        <v>170496.98</v>
      </c>
      <c r="H21" s="22">
        <v>187182.91</v>
      </c>
      <c r="I21" s="22">
        <v>302798.96999999997</v>
      </c>
      <c r="J21" s="22">
        <v>198884.77000000002</v>
      </c>
      <c r="K21" s="22">
        <v>201712.58000000002</v>
      </c>
      <c r="L21" s="22">
        <v>200295.86000000002</v>
      </c>
      <c r="M21" s="22">
        <v>142174.63</v>
      </c>
      <c r="N21" s="42">
        <v>51137.599999999999</v>
      </c>
      <c r="O21" s="47"/>
      <c r="P21" s="47"/>
      <c r="Q21" s="42"/>
      <c r="R21" s="42"/>
      <c r="S21" s="42"/>
      <c r="T21" s="42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>
        <v>3132039.2399999993</v>
      </c>
      <c r="F22" s="22">
        <v>3603940.4199999995</v>
      </c>
      <c r="G22" s="22">
        <v>4309132.2399999984</v>
      </c>
      <c r="H22" s="22">
        <v>4624750.0900000017</v>
      </c>
      <c r="I22" s="22">
        <v>4666388.1399999997</v>
      </c>
      <c r="J22" s="22">
        <v>4701125.05</v>
      </c>
      <c r="K22" s="22">
        <v>4510317.62</v>
      </c>
      <c r="L22" s="22">
        <v>4446004.6500000004</v>
      </c>
      <c r="M22" s="22">
        <v>4210488.96</v>
      </c>
      <c r="N22" s="42">
        <v>3567820.0199999996</v>
      </c>
      <c r="O22" s="48">
        <f>3233442.75+90378.86</f>
        <v>3323821.61</v>
      </c>
      <c r="P22" s="48">
        <f>3398074.24+96321.2</f>
        <v>3494395.4400000004</v>
      </c>
      <c r="Q22" s="49">
        <f>3326080.96+91047.21</f>
        <v>3417128.17</v>
      </c>
      <c r="R22" s="49"/>
      <c r="S22" s="49"/>
      <c r="T22" s="49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2">
        <v>754377.73999999987</v>
      </c>
      <c r="F23" s="22">
        <v>717386.05</v>
      </c>
      <c r="G23" s="22">
        <v>775471.13</v>
      </c>
      <c r="H23" s="22">
        <v>841927.29000000015</v>
      </c>
      <c r="I23" s="22">
        <v>789336.01000000013</v>
      </c>
      <c r="J23" s="22">
        <v>855090.37</v>
      </c>
      <c r="K23" s="22">
        <v>922726.94</v>
      </c>
      <c r="L23" s="22">
        <v>827111.19000000006</v>
      </c>
      <c r="M23" s="22">
        <v>485143.76999999996</v>
      </c>
      <c r="N23" s="42">
        <v>451284.44999999995</v>
      </c>
      <c r="O23" s="48">
        <f>496118.06+3820.14</f>
        <v>499938.2</v>
      </c>
      <c r="P23" s="48">
        <f>507202.95+4174.32</f>
        <v>511377.27</v>
      </c>
      <c r="Q23" s="49">
        <f>487483.59+3293.19</f>
        <v>490776.78</v>
      </c>
      <c r="R23" s="49"/>
      <c r="S23" s="49"/>
      <c r="T23" s="49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O24" s="48"/>
      <c r="P24" s="48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8">
        <f>3592.18+134.54</f>
        <v>3726.72</v>
      </c>
      <c r="P25" s="48">
        <f>10700.01+1503.15</f>
        <v>12203.16</v>
      </c>
      <c r="Q25" s="49">
        <f>4019.18+21.58</f>
        <v>4040.7599999999998</v>
      </c>
      <c r="R25" s="49"/>
      <c r="S25" s="49"/>
      <c r="T25" s="49"/>
      <c r="U25" s="16"/>
      <c r="V25" s="45"/>
    </row>
    <row r="26" spans="1:22" x14ac:dyDescent="0.2">
      <c r="C26" s="1"/>
      <c r="D26" s="5" t="s">
        <v>229</v>
      </c>
      <c r="E26" s="6">
        <f t="shared" ref="E26:U26" si="5">SUM(E18:E25)</f>
        <v>7378470.6099999985</v>
      </c>
      <c r="F26" s="6">
        <f t="shared" si="5"/>
        <v>7898313.3599999985</v>
      </c>
      <c r="G26" s="6">
        <f t="shared" si="5"/>
        <v>8723196.1499999985</v>
      </c>
      <c r="H26" s="6">
        <f t="shared" si="5"/>
        <v>9310193.3000000026</v>
      </c>
      <c r="I26" s="6">
        <f t="shared" si="5"/>
        <v>8786201.8600000013</v>
      </c>
      <c r="J26" s="6">
        <f t="shared" si="5"/>
        <v>9058822.379999999</v>
      </c>
      <c r="K26" s="6">
        <f t="shared" si="5"/>
        <v>9193868.2200000007</v>
      </c>
      <c r="L26" s="6">
        <f t="shared" si="5"/>
        <v>9199623.4999999981</v>
      </c>
      <c r="M26" s="6">
        <f t="shared" si="5"/>
        <v>9845673.2699999996</v>
      </c>
      <c r="N26" s="6">
        <f t="shared" si="5"/>
        <v>10311576.359999999</v>
      </c>
      <c r="O26" s="6">
        <f t="shared" si="5"/>
        <v>11486044.59</v>
      </c>
      <c r="P26" s="6">
        <f t="shared" si="5"/>
        <v>11508110.700000001</v>
      </c>
      <c r="Q26" s="6">
        <f>SUM(Q18:Q25)</f>
        <v>10920928.299999997</v>
      </c>
      <c r="R26" s="6">
        <f>SUM(R18:R25)</f>
        <v>11462166.880000001</v>
      </c>
      <c r="S26" s="6">
        <f>SUM(S18:S25)</f>
        <v>12589872.82</v>
      </c>
      <c r="T26" s="6">
        <f>SUM(T18:T25)</f>
        <v>12782335.379999999</v>
      </c>
      <c r="U26" s="17">
        <f t="shared" si="5"/>
        <v>192462.55999999866</v>
      </c>
      <c r="V26" s="45">
        <f t="shared" ref="V26:V74" si="6">U26/S26</f>
        <v>1.5287093265490085E-2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2">
        <v>23676.480000000003</v>
      </c>
      <c r="F27" s="22">
        <v>665.77000000000021</v>
      </c>
      <c r="G27" s="22">
        <v>-2873.2700000000009</v>
      </c>
      <c r="H27" s="22">
        <v>-9349.86</v>
      </c>
      <c r="I27" s="22">
        <v>24971.439999999999</v>
      </c>
      <c r="J27" s="22">
        <v>-19269.879999999997</v>
      </c>
      <c r="K27" s="22">
        <v>9222.6600000000017</v>
      </c>
      <c r="L27" s="22">
        <v>-9005.4499999999989</v>
      </c>
      <c r="M27" s="22">
        <v>3718.3900000000003</v>
      </c>
      <c r="N27" s="42">
        <v>-274.57999999999993</v>
      </c>
      <c r="O27" s="42">
        <f>7650.23+65.28</f>
        <v>7715.5099999999993</v>
      </c>
      <c r="P27" s="42">
        <f>-5804.29+4795.52</f>
        <v>-1008.7699999999995</v>
      </c>
      <c r="Q27" s="49">
        <f>11677.41+2792+0.01</f>
        <v>14469.42</v>
      </c>
      <c r="R27" s="39">
        <f>11589.79+(-8371.07)</f>
        <v>3218.7200000000012</v>
      </c>
      <c r="S27" s="41">
        <f>42783.85+2539.13</f>
        <v>45322.979999999996</v>
      </c>
      <c r="T27" s="41">
        <f>(-12933.76)+1933.23</f>
        <v>-11000.53</v>
      </c>
      <c r="U27" s="16">
        <f t="shared" ref="U27:U73" si="7">T27-S27</f>
        <v>-56323.509999999995</v>
      </c>
      <c r="V27" s="45">
        <f t="shared" si="6"/>
        <v>-1.2427141816358942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E28" s="22">
        <v>126350.69</v>
      </c>
      <c r="F28" s="22">
        <v>123426.39</v>
      </c>
      <c r="G28" s="22">
        <v>146031.56</v>
      </c>
      <c r="H28" s="22">
        <v>167616.44</v>
      </c>
      <c r="I28" s="22">
        <v>102741.15</v>
      </c>
      <c r="J28" s="22">
        <v>82834.149999999994</v>
      </c>
      <c r="K28" s="22">
        <v>88037.35</v>
      </c>
      <c r="L28" s="22">
        <v>91289.390000000014</v>
      </c>
      <c r="M28" s="22">
        <v>106030</v>
      </c>
      <c r="N28" s="42">
        <v>93425.32</v>
      </c>
      <c r="O28" s="42">
        <v>112160.40000000001</v>
      </c>
      <c r="P28" s="42">
        <v>161532</v>
      </c>
      <c r="Q28" s="49">
        <v>95411.01999999999</v>
      </c>
      <c r="R28" s="39">
        <v>21891</v>
      </c>
      <c r="S28" s="41">
        <v>33654.800000000003</v>
      </c>
      <c r="T28" s="41">
        <f>20506.8</f>
        <v>20506.8</v>
      </c>
      <c r="U28" s="16">
        <f t="shared" si="7"/>
        <v>-13148.000000000004</v>
      </c>
      <c r="V28" s="45">
        <f t="shared" si="6"/>
        <v>-0.39067235580065851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E29" s="22">
        <v>138003.24</v>
      </c>
      <c r="F29" s="22">
        <v>151985.94</v>
      </c>
      <c r="G29" s="22">
        <v>168371.69</v>
      </c>
      <c r="H29" s="22">
        <v>195481.13</v>
      </c>
      <c r="I29" s="22">
        <v>176822.72</v>
      </c>
      <c r="J29" s="22">
        <v>234233.31</v>
      </c>
      <c r="K29" s="22">
        <v>223590.63</v>
      </c>
      <c r="L29" s="22">
        <v>217767.04000000001</v>
      </c>
      <c r="M29" s="22">
        <v>241635.94</v>
      </c>
      <c r="N29" s="42">
        <v>303714.00999999995</v>
      </c>
      <c r="O29" s="42">
        <f>322673.2+853.71</f>
        <v>323526.91000000003</v>
      </c>
      <c r="P29" s="42">
        <f>193204.55+2574.52</f>
        <v>195779.06999999998</v>
      </c>
      <c r="Q29" s="49">
        <f>256937.5+4152.27</f>
        <v>261089.77</v>
      </c>
      <c r="R29" s="39">
        <f>247074.71+4099.2</f>
        <v>251173.91</v>
      </c>
      <c r="S29" s="41">
        <f>202842.67+1095.96</f>
        <v>203938.63</v>
      </c>
      <c r="T29" s="41">
        <f>170323.06</f>
        <v>170323.06</v>
      </c>
      <c r="U29" s="16">
        <f t="shared" si="7"/>
        <v>-33615.570000000007</v>
      </c>
      <c r="V29" s="45">
        <f t="shared" si="6"/>
        <v>-0.16483179278001428</v>
      </c>
    </row>
    <row r="30" spans="1:22" x14ac:dyDescent="0.2">
      <c r="A30" s="3">
        <v>601100</v>
      </c>
      <c r="B30" s="3" t="s">
        <v>318</v>
      </c>
      <c r="C30" s="1">
        <v>612205</v>
      </c>
      <c r="D30" s="1" t="s">
        <v>21</v>
      </c>
      <c r="E30" s="22">
        <v>123980.49</v>
      </c>
      <c r="F30" s="22">
        <v>107786.06</v>
      </c>
      <c r="G30" s="22">
        <v>124029.35</v>
      </c>
      <c r="H30" s="22">
        <v>68484.45</v>
      </c>
      <c r="I30" s="22">
        <v>60357.119999999995</v>
      </c>
      <c r="J30" s="22">
        <v>28130.640000000003</v>
      </c>
      <c r="K30" s="22">
        <v>27644.07</v>
      </c>
      <c r="L30" s="22">
        <v>28411.71</v>
      </c>
      <c r="M30" s="22">
        <v>38948.43</v>
      </c>
      <c r="N30" s="42">
        <v>35931.08</v>
      </c>
      <c r="O30" s="42">
        <f>58647.01+1623.49</f>
        <v>60270.5</v>
      </c>
      <c r="P30" s="42">
        <f>35283.83+1516.61</f>
        <v>36800.44</v>
      </c>
      <c r="Q30" s="49">
        <f>105511.41+1577.95</f>
        <v>107089.36</v>
      </c>
      <c r="R30" s="39">
        <f>78213.43+1811.16</f>
        <v>80024.59</v>
      </c>
      <c r="S30" s="41">
        <f>92824.37+5766.13</f>
        <v>98590.5</v>
      </c>
      <c r="T30" s="41">
        <f>146050.85+1842.61</f>
        <v>147893.46</v>
      </c>
      <c r="U30" s="16">
        <f t="shared" si="7"/>
        <v>49302.959999999992</v>
      </c>
      <c r="V30" s="45">
        <f t="shared" si="6"/>
        <v>0.50007820226086686</v>
      </c>
    </row>
    <row r="31" spans="1:22" x14ac:dyDescent="0.2">
      <c r="A31" s="3">
        <v>601202</v>
      </c>
      <c r="B31" s="3" t="s">
        <v>429</v>
      </c>
      <c r="C31" s="57">
        <v>612210</v>
      </c>
      <c r="D31" s="57" t="s">
        <v>274</v>
      </c>
      <c r="E31" s="22"/>
      <c r="F31" s="22"/>
      <c r="G31" s="22">
        <v>-78.23</v>
      </c>
      <c r="H31" s="22"/>
      <c r="I31" s="22"/>
      <c r="J31" s="22"/>
      <c r="K31" s="22"/>
      <c r="L31" s="22"/>
      <c r="M31" s="22"/>
      <c r="N31" s="22"/>
      <c r="O31" s="22"/>
      <c r="P31" s="22"/>
      <c r="Q31" s="22"/>
      <c r="R31" s="22"/>
      <c r="S31" s="22"/>
      <c r="T31" s="22"/>
      <c r="U31" s="16">
        <f t="shared" si="7"/>
        <v>0</v>
      </c>
      <c r="V31" s="45" t="e">
        <f t="shared" si="6"/>
        <v>#DIV/0!</v>
      </c>
    </row>
    <row r="32" spans="1:22" x14ac:dyDescent="0.2">
      <c r="A32" s="3">
        <v>601307</v>
      </c>
      <c r="B32" s="3" t="s">
        <v>430</v>
      </c>
      <c r="C32" s="57">
        <v>612215</v>
      </c>
      <c r="D32" s="57" t="s">
        <v>177</v>
      </c>
      <c r="E32" s="22">
        <v>468284.86000000004</v>
      </c>
      <c r="F32" s="22">
        <v>457186.27000000014</v>
      </c>
      <c r="G32" s="22">
        <v>273789.67</v>
      </c>
      <c r="H32" s="22">
        <v>409125.02999999997</v>
      </c>
      <c r="I32" s="22">
        <v>342175.03999999992</v>
      </c>
      <c r="J32" s="22">
        <v>384301.54000000004</v>
      </c>
      <c r="K32" s="22">
        <v>437818.80000000005</v>
      </c>
      <c r="L32" s="22">
        <v>422148.74999999994</v>
      </c>
      <c r="M32" s="22">
        <v>224123.99</v>
      </c>
      <c r="N32" s="42">
        <v>195320.39999999997</v>
      </c>
      <c r="O32" s="42">
        <v>211699.47999999998</v>
      </c>
      <c r="P32" s="42">
        <v>193873.86000000002</v>
      </c>
      <c r="Q32" s="49">
        <v>208884.74999999997</v>
      </c>
      <c r="R32" s="39">
        <v>211332.61000000002</v>
      </c>
      <c r="S32" s="41">
        <v>237085.90000000002</v>
      </c>
      <c r="T32" s="41">
        <f>201825.16</f>
        <v>201825.16</v>
      </c>
      <c r="U32" s="16">
        <f t="shared" si="7"/>
        <v>-35260.74000000002</v>
      </c>
      <c r="V32" s="45">
        <f t="shared" si="6"/>
        <v>-0.14872558848923539</v>
      </c>
    </row>
    <row r="33" spans="1:22" x14ac:dyDescent="0.2">
      <c r="A33" s="3">
        <v>601510</v>
      </c>
      <c r="B33" s="3" t="s">
        <v>22</v>
      </c>
      <c r="C33" s="1">
        <v>612220</v>
      </c>
      <c r="D33" s="1" t="s">
        <v>22</v>
      </c>
      <c r="U33" s="16">
        <f t="shared" si="7"/>
        <v>0</v>
      </c>
      <c r="V33" s="45" t="e">
        <f t="shared" si="6"/>
        <v>#DIV/0!</v>
      </c>
    </row>
    <row r="34" spans="1:22" x14ac:dyDescent="0.2">
      <c r="A34" s="3">
        <v>601306</v>
      </c>
      <c r="B34" s="3" t="s">
        <v>324</v>
      </c>
      <c r="C34" s="1">
        <v>612230</v>
      </c>
      <c r="D34" s="1" t="s">
        <v>23</v>
      </c>
      <c r="E34" s="22">
        <v>298241.74</v>
      </c>
      <c r="F34" s="22">
        <v>220046.59000000003</v>
      </c>
      <c r="G34" s="22">
        <v>280688.13999999996</v>
      </c>
      <c r="H34" s="22">
        <v>325209.47000000003</v>
      </c>
      <c r="I34" s="22">
        <v>244902.93000000002</v>
      </c>
      <c r="J34" s="22">
        <v>246543.86000000002</v>
      </c>
      <c r="K34" s="22">
        <v>264276.79000000004</v>
      </c>
      <c r="L34" s="22">
        <v>278592.74000000005</v>
      </c>
      <c r="M34" s="22">
        <v>234725.47999999998</v>
      </c>
      <c r="N34" s="42">
        <v>227376.04</v>
      </c>
      <c r="O34" s="42">
        <f>319506.31+3983.85</f>
        <v>323490.15999999997</v>
      </c>
      <c r="P34" s="42">
        <f>263858.62+1957.35</f>
        <v>265815.96999999997</v>
      </c>
      <c r="Q34" s="49">
        <f>213374.3+1628.14</f>
        <v>215002.44</v>
      </c>
      <c r="R34" s="39">
        <f>278948.38+5850.71</f>
        <v>284799.09000000003</v>
      </c>
      <c r="S34" s="41">
        <f>298573.18+9179.71</f>
        <v>307752.89</v>
      </c>
      <c r="T34" s="41">
        <f>423096.82+13111.11</f>
        <v>436207.93</v>
      </c>
      <c r="U34" s="16">
        <f t="shared" si="7"/>
        <v>128455.03999999998</v>
      </c>
      <c r="V34" s="45">
        <f t="shared" si="6"/>
        <v>0.41739669772069393</v>
      </c>
    </row>
    <row r="35" spans="1:22" x14ac:dyDescent="0.2">
      <c r="A35" s="3">
        <v>601303</v>
      </c>
      <c r="B35" s="3" t="s">
        <v>321</v>
      </c>
      <c r="C35" s="1">
        <v>612235</v>
      </c>
      <c r="D35" s="1" t="s">
        <v>24</v>
      </c>
      <c r="E35" s="22">
        <v>82008.810000000012</v>
      </c>
      <c r="F35" s="22">
        <v>93155.16</v>
      </c>
      <c r="G35" s="22">
        <v>91724.62999999999</v>
      </c>
      <c r="H35" s="22">
        <v>71858.75</v>
      </c>
      <c r="I35" s="22">
        <v>74131.17</v>
      </c>
      <c r="J35" s="22">
        <v>19097.14</v>
      </c>
      <c r="K35" s="22">
        <v>1128.23</v>
      </c>
      <c r="L35" s="22">
        <v>28921.32</v>
      </c>
      <c r="M35" s="22">
        <v>8133.12</v>
      </c>
      <c r="N35" s="42">
        <v>7192.07</v>
      </c>
      <c r="O35" s="22"/>
      <c r="P35" s="22">
        <v>7342.5</v>
      </c>
      <c r="Q35" s="49">
        <v>2915</v>
      </c>
      <c r="R35" s="39">
        <f>4260+12254.74</f>
        <v>16514.739999999998</v>
      </c>
      <c r="S35" s="41">
        <f>21392+2663.06</f>
        <v>24055.06</v>
      </c>
      <c r="T35" s="41">
        <f>7575.35+5031.42</f>
        <v>12606.77</v>
      </c>
      <c r="U35" s="16">
        <f t="shared" si="7"/>
        <v>-11448.29</v>
      </c>
      <c r="V35" s="45">
        <f t="shared" si="6"/>
        <v>-0.47592024297590613</v>
      </c>
    </row>
    <row r="36" spans="1:22" x14ac:dyDescent="0.2">
      <c r="A36" s="3">
        <v>601304</v>
      </c>
      <c r="B36" s="3" t="s">
        <v>322</v>
      </c>
      <c r="C36" s="1">
        <v>612300</v>
      </c>
      <c r="D36" s="1" t="s">
        <v>25</v>
      </c>
      <c r="E36" s="22">
        <v>75516.42</v>
      </c>
      <c r="F36" s="22">
        <v>69485.3</v>
      </c>
      <c r="G36" s="22">
        <v>106056.7</v>
      </c>
      <c r="H36" s="22">
        <v>87697.18</v>
      </c>
      <c r="I36" s="22">
        <v>99399</v>
      </c>
      <c r="J36" s="22">
        <v>79749.920000000013</v>
      </c>
      <c r="K36" s="22">
        <v>63070.869999999995</v>
      </c>
      <c r="L36" s="22">
        <v>70649.94</v>
      </c>
      <c r="M36" s="22">
        <v>65370.26</v>
      </c>
      <c r="N36" s="42">
        <v>73799.91</v>
      </c>
      <c r="O36" s="42">
        <v>68356.45</v>
      </c>
      <c r="P36" s="42">
        <v>60648.97</v>
      </c>
      <c r="Q36" s="49">
        <v>103183.28</v>
      </c>
      <c r="R36" s="39">
        <v>117582.78</v>
      </c>
      <c r="S36" s="41">
        <v>131739.99</v>
      </c>
      <c r="T36" s="41">
        <f>105200</f>
        <v>105200</v>
      </c>
      <c r="U36" s="16">
        <f t="shared" si="7"/>
        <v>-26539.989999999991</v>
      </c>
      <c r="V36" s="45">
        <f t="shared" si="6"/>
        <v>-0.20145735550761765</v>
      </c>
    </row>
    <row r="37" spans="1:22" x14ac:dyDescent="0.2">
      <c r="A37" s="3">
        <v>601305</v>
      </c>
      <c r="B37" s="3" t="s">
        <v>323</v>
      </c>
      <c r="C37" s="1">
        <v>612305</v>
      </c>
      <c r="D37" s="1" t="s">
        <v>26</v>
      </c>
      <c r="E37" s="22">
        <v>151084.91999999998</v>
      </c>
      <c r="F37" s="22">
        <v>194241.59</v>
      </c>
      <c r="G37" s="22">
        <v>130559.13</v>
      </c>
      <c r="H37" s="22">
        <v>135755.52000000002</v>
      </c>
      <c r="I37" s="22">
        <v>169262.59</v>
      </c>
      <c r="J37" s="22">
        <v>198687.47</v>
      </c>
      <c r="K37" s="22">
        <v>204008.73</v>
      </c>
      <c r="L37" s="22">
        <v>216102.78</v>
      </c>
      <c r="M37" s="22">
        <v>240835.13999999998</v>
      </c>
      <c r="N37" s="42">
        <v>236158.58</v>
      </c>
      <c r="O37" s="42">
        <v>257186.11</v>
      </c>
      <c r="P37" s="42">
        <v>285677.68</v>
      </c>
      <c r="Q37" s="49">
        <v>264502.39</v>
      </c>
      <c r="R37" s="39">
        <v>264715.58</v>
      </c>
      <c r="S37" s="41">
        <v>295421.32</v>
      </c>
      <c r="T37" s="41">
        <f>293425.04</f>
        <v>293425.03999999998</v>
      </c>
      <c r="U37" s="16">
        <f t="shared" si="7"/>
        <v>-1996.2800000000279</v>
      </c>
      <c r="V37" s="45">
        <f t="shared" si="6"/>
        <v>-6.7573999060055239E-3</v>
      </c>
    </row>
    <row r="38" spans="1:22" x14ac:dyDescent="0.2">
      <c r="A38" s="3">
        <v>601400</v>
      </c>
      <c r="B38" s="3" t="s">
        <v>325</v>
      </c>
      <c r="C38" s="1">
        <v>612410</v>
      </c>
      <c r="D38" s="1" t="s">
        <v>27</v>
      </c>
      <c r="E38" s="22">
        <v>616541.72000000009</v>
      </c>
      <c r="F38" s="22">
        <v>647620.42999999993</v>
      </c>
      <c r="G38" s="22">
        <v>716138.63000000024</v>
      </c>
      <c r="H38" s="22">
        <v>675504.44000000018</v>
      </c>
      <c r="I38" s="22">
        <v>848780.7300000001</v>
      </c>
      <c r="J38" s="22">
        <v>880125.6100000001</v>
      </c>
      <c r="K38" s="22">
        <v>895603.74</v>
      </c>
      <c r="L38" s="22">
        <v>870246.94000000006</v>
      </c>
      <c r="M38" s="22">
        <v>940403.52</v>
      </c>
      <c r="N38" s="42">
        <v>918550.39</v>
      </c>
      <c r="O38" s="42">
        <f>1034065.2+12695.2</f>
        <v>1046760.3999999999</v>
      </c>
      <c r="P38" s="42">
        <f>1044646.72+14064.61</f>
        <v>1058711.33</v>
      </c>
      <c r="Q38" s="49">
        <f>1079943.79+11965.94</f>
        <v>1091909.73</v>
      </c>
      <c r="R38" s="39">
        <f>1032329.88+44672.2</f>
        <v>1077002.08</v>
      </c>
      <c r="S38" s="41">
        <f>1086122.74+42343.95</f>
        <v>1128466.69</v>
      </c>
      <c r="T38" s="41">
        <f>565557.08+12270.22</f>
        <v>577827.29999999993</v>
      </c>
      <c r="U38" s="16">
        <f t="shared" si="7"/>
        <v>-550639.39</v>
      </c>
      <c r="V38" s="45">
        <f t="shared" si="6"/>
        <v>-0.48795360543606303</v>
      </c>
    </row>
    <row r="39" spans="1:22" x14ac:dyDescent="0.2">
      <c r="A39" s="3">
        <v>601401</v>
      </c>
      <c r="B39" s="3" t="s">
        <v>431</v>
      </c>
      <c r="C39" s="1">
        <v>612420</v>
      </c>
      <c r="D39" s="1" t="s">
        <v>28</v>
      </c>
      <c r="U39" s="16">
        <f t="shared" si="7"/>
        <v>0</v>
      </c>
      <c r="V39" s="45" t="e">
        <f t="shared" si="6"/>
        <v>#DIV/0!</v>
      </c>
    </row>
    <row r="40" spans="1:22" x14ac:dyDescent="0.2">
      <c r="A40" s="3">
        <v>601404</v>
      </c>
      <c r="B40" s="3" t="s">
        <v>327</v>
      </c>
      <c r="C40" s="1">
        <v>612510</v>
      </c>
      <c r="D40" s="1" t="s">
        <v>29</v>
      </c>
      <c r="E40" s="22">
        <v>85660.53</v>
      </c>
      <c r="F40" s="22">
        <v>75580.81</v>
      </c>
      <c r="G40" s="22">
        <v>114729.93</v>
      </c>
      <c r="H40" s="22">
        <v>144820.87</v>
      </c>
      <c r="I40" s="22">
        <v>157827.47</v>
      </c>
      <c r="J40" s="22">
        <v>109867.91</v>
      </c>
      <c r="K40" s="22">
        <v>107085.69</v>
      </c>
      <c r="L40" s="22">
        <v>107843.78</v>
      </c>
      <c r="M40" s="22">
        <v>39643.760000000002</v>
      </c>
      <c r="N40" s="42">
        <v>130446.85</v>
      </c>
      <c r="O40" s="42">
        <v>103907.04</v>
      </c>
      <c r="P40" s="42">
        <f>164701.665+64.96</f>
        <v>164766.625</v>
      </c>
      <c r="Q40" s="42">
        <f>159753.64+220.25</f>
        <v>159973.89000000001</v>
      </c>
      <c r="R40" s="42">
        <f>193164.8+651.49</f>
        <v>193816.28999999998</v>
      </c>
      <c r="S40" s="42">
        <f>256299.46+2055.64</f>
        <v>258355.1</v>
      </c>
      <c r="T40" s="42">
        <f>250396.45+1481.57</f>
        <v>251878.02000000002</v>
      </c>
      <c r="U40" s="16">
        <f t="shared" si="7"/>
        <v>-6477.0799999999872</v>
      </c>
      <c r="V40" s="45">
        <f t="shared" si="6"/>
        <v>-2.5070455353890776E-2</v>
      </c>
    </row>
    <row r="41" spans="1:22" x14ac:dyDescent="0.2">
      <c r="A41" s="3">
        <v>601405</v>
      </c>
      <c r="B41" s="3" t="s">
        <v>328</v>
      </c>
      <c r="C41" s="1">
        <v>612520</v>
      </c>
      <c r="D41" s="1" t="s">
        <v>30</v>
      </c>
      <c r="E41" s="22">
        <v>28615.95</v>
      </c>
      <c r="F41" s="22">
        <v>25193.89</v>
      </c>
      <c r="G41" s="22">
        <v>38244.800000000003</v>
      </c>
      <c r="H41" s="22">
        <v>48275.15</v>
      </c>
      <c r="I41" s="22">
        <v>52610.65</v>
      </c>
      <c r="J41" s="22">
        <v>36716.39</v>
      </c>
      <c r="K41" s="22">
        <v>35697.629999999997</v>
      </c>
      <c r="L41" s="22">
        <v>35949.86</v>
      </c>
      <c r="M41" s="22">
        <v>13214.59</v>
      </c>
      <c r="N41" s="42">
        <v>43485.67</v>
      </c>
      <c r="O41" s="42">
        <v>34636.94</v>
      </c>
      <c r="P41" s="42">
        <f>54901.565+21.65</f>
        <v>54923.215000000004</v>
      </c>
      <c r="Q41" s="42">
        <f>53252.61+73.41</f>
        <v>53326.020000000004</v>
      </c>
      <c r="R41" s="42">
        <f>64390.7+217.18</f>
        <v>64607.88</v>
      </c>
      <c r="S41" s="42">
        <f>85435.35+685.23</f>
        <v>86120.58</v>
      </c>
      <c r="T41" s="42"/>
      <c r="U41" s="16">
        <f t="shared" si="7"/>
        <v>-86120.58</v>
      </c>
      <c r="V41" s="45">
        <f t="shared" si="6"/>
        <v>-1</v>
      </c>
    </row>
    <row r="42" spans="1:22" x14ac:dyDescent="0.2">
      <c r="A42" s="3">
        <v>601406</v>
      </c>
      <c r="B42" s="3" t="s">
        <v>329</v>
      </c>
      <c r="C42" s="1">
        <v>612550</v>
      </c>
      <c r="D42" s="58" t="s">
        <v>310</v>
      </c>
      <c r="E42" s="22"/>
      <c r="F42" s="22"/>
      <c r="G42" s="22"/>
      <c r="H42" s="22"/>
      <c r="I42" s="22"/>
      <c r="J42" s="22"/>
      <c r="K42" s="22"/>
      <c r="L42" s="22"/>
      <c r="M42" s="22"/>
      <c r="N42" s="42"/>
      <c r="O42" s="42"/>
      <c r="P42" s="42">
        <v>32502.18</v>
      </c>
      <c r="Q42" s="49">
        <v>20444.95</v>
      </c>
      <c r="R42" s="49"/>
      <c r="S42" s="49"/>
      <c r="T42" s="49"/>
      <c r="U42" s="16">
        <f t="shared" si="7"/>
        <v>0</v>
      </c>
      <c r="V42" s="45" t="e">
        <f t="shared" si="6"/>
        <v>#DIV/0!</v>
      </c>
    </row>
    <row r="43" spans="1:22" x14ac:dyDescent="0.2">
      <c r="A43" s="3">
        <v>601402</v>
      </c>
      <c r="B43" s="3" t="s">
        <v>326</v>
      </c>
      <c r="C43" s="1">
        <v>612600</v>
      </c>
      <c r="D43" s="1" t="s">
        <v>31</v>
      </c>
      <c r="E43" s="22">
        <v>76839.569999999992</v>
      </c>
      <c r="F43" s="22">
        <v>127473.81</v>
      </c>
      <c r="G43" s="22">
        <v>72479.59</v>
      </c>
      <c r="H43" s="22">
        <v>60680.840000000004</v>
      </c>
      <c r="I43" s="22">
        <v>44829.1</v>
      </c>
      <c r="J43" s="22">
        <v>44797.770000000004</v>
      </c>
      <c r="K43" s="22">
        <v>49894.879999999997</v>
      </c>
      <c r="L43" s="22">
        <v>35398.28</v>
      </c>
      <c r="M43" s="22">
        <v>38029.94</v>
      </c>
      <c r="N43" s="42">
        <v>37880.370000000003</v>
      </c>
      <c r="O43" s="42">
        <v>35603.35</v>
      </c>
      <c r="P43" s="42">
        <v>40923.14</v>
      </c>
      <c r="Q43" s="49">
        <v>40747.760000000002</v>
      </c>
      <c r="R43" s="39">
        <v>38944.17</v>
      </c>
      <c r="S43" s="41">
        <v>43819.600000000006</v>
      </c>
      <c r="T43" s="41">
        <f>13007.71</f>
        <v>13007.71</v>
      </c>
      <c r="U43" s="16">
        <f t="shared" si="7"/>
        <v>-30811.890000000007</v>
      </c>
      <c r="V43" s="45">
        <f t="shared" si="6"/>
        <v>-0.70315315520908461</v>
      </c>
    </row>
    <row r="44" spans="1:22" x14ac:dyDescent="0.2">
      <c r="A44" s="3">
        <v>601501</v>
      </c>
      <c r="B44" s="3" t="s">
        <v>32</v>
      </c>
      <c r="C44" s="1">
        <v>613100</v>
      </c>
      <c r="D44" s="1" t="s">
        <v>32</v>
      </c>
      <c r="E44" s="22">
        <v>36538.11</v>
      </c>
      <c r="F44" s="22">
        <v>23731.86</v>
      </c>
      <c r="G44" s="22">
        <v>12565.08</v>
      </c>
      <c r="H44" s="22">
        <v>17424.07</v>
      </c>
      <c r="I44" s="22">
        <v>12748.470000000001</v>
      </c>
      <c r="J44" s="22">
        <v>20422.04</v>
      </c>
      <c r="K44" s="22">
        <v>19350.390000000003</v>
      </c>
      <c r="L44" s="22">
        <v>22296.7</v>
      </c>
      <c r="M44" s="22">
        <v>24165.090000000004</v>
      </c>
      <c r="N44" s="42">
        <v>12728.589999999998</v>
      </c>
      <c r="O44" s="42">
        <f>12425.96+60498.99</f>
        <v>72924.95</v>
      </c>
      <c r="P44" s="42">
        <f>10174.55+59767.85</f>
        <v>69942.399999999994</v>
      </c>
      <c r="Q44" s="49">
        <f>12237.6+51640.44</f>
        <v>63878.04</v>
      </c>
      <c r="R44" s="39">
        <f>5100.4+128837.08</f>
        <v>133937.48000000001</v>
      </c>
      <c r="S44" s="41">
        <f>7910.24+72277.84</f>
        <v>80188.08</v>
      </c>
      <c r="T44" s="41">
        <f>11365.63+65015.24</f>
        <v>76380.87</v>
      </c>
      <c r="U44" s="16">
        <f t="shared" si="7"/>
        <v>-3807.2100000000064</v>
      </c>
      <c r="V44" s="45">
        <f t="shared" si="6"/>
        <v>-4.747850303935456E-2</v>
      </c>
    </row>
    <row r="45" spans="1:22" x14ac:dyDescent="0.2">
      <c r="A45" s="3">
        <v>601503</v>
      </c>
      <c r="B45" s="3" t="s">
        <v>33</v>
      </c>
      <c r="C45" s="1">
        <v>613210</v>
      </c>
      <c r="D45" s="1" t="s">
        <v>33</v>
      </c>
      <c r="E45" s="22">
        <v>1321.1899999999998</v>
      </c>
      <c r="F45" s="22">
        <v>428.74999999999989</v>
      </c>
      <c r="G45" s="22">
        <v>938.8900000000001</v>
      </c>
      <c r="H45" s="22">
        <v>1604.97</v>
      </c>
      <c r="I45" s="22">
        <v>13.5</v>
      </c>
      <c r="J45" s="22"/>
      <c r="K45" s="22">
        <v>816.75</v>
      </c>
      <c r="L45" s="22">
        <v>1757.7</v>
      </c>
      <c r="M45" s="22">
        <v>1776.6000000000001</v>
      </c>
      <c r="N45" s="42">
        <v>2118.4499999999998</v>
      </c>
      <c r="O45" s="42">
        <f>2213.41+5307.21</f>
        <v>7520.62</v>
      </c>
      <c r="P45" s="42">
        <f>2152.5+4994.15</f>
        <v>7146.65</v>
      </c>
      <c r="Q45" s="49">
        <f>2109.54+4658.04</f>
        <v>6767.58</v>
      </c>
      <c r="R45" s="39">
        <f>1755+15711.67</f>
        <v>17466.669999999998</v>
      </c>
      <c r="S45" s="41">
        <f>1768.5+15644.56</f>
        <v>17413.059999999998</v>
      </c>
      <c r="T45" s="41">
        <f>1032.75+15045.61</f>
        <v>16078.36</v>
      </c>
      <c r="U45" s="16">
        <f t="shared" si="7"/>
        <v>-1334.6999999999971</v>
      </c>
      <c r="V45" s="45">
        <f t="shared" si="6"/>
        <v>-7.6649365476257322E-2</v>
      </c>
    </row>
    <row r="46" spans="1:22" x14ac:dyDescent="0.2">
      <c r="A46" s="3">
        <v>601504</v>
      </c>
      <c r="B46" s="3" t="s">
        <v>332</v>
      </c>
      <c r="C46" s="57">
        <v>613215</v>
      </c>
      <c r="D46" s="57" t="s">
        <v>275</v>
      </c>
      <c r="E46" s="22">
        <v>124.60000000000001</v>
      </c>
      <c r="F46" s="22"/>
      <c r="G46" s="22"/>
      <c r="H46" s="22">
        <v>151.20000000000002</v>
      </c>
      <c r="I46" s="22">
        <v>75.2</v>
      </c>
      <c r="J46" s="22">
        <v>150.45000000000002</v>
      </c>
      <c r="K46" s="22">
        <v>83.300000000000011</v>
      </c>
      <c r="L46" s="22">
        <v>122.4</v>
      </c>
      <c r="M46" s="22">
        <v>150.45000000000002</v>
      </c>
      <c r="N46" s="42">
        <v>79.900000000000006</v>
      </c>
      <c r="O46" s="22">
        <f>309.02</f>
        <v>309.02</v>
      </c>
      <c r="P46" s="22">
        <f>21.25+470.15</f>
        <v>491.4</v>
      </c>
      <c r="Q46" s="22">
        <f>451.59</f>
        <v>451.59</v>
      </c>
      <c r="R46" s="22">
        <f>665.3</f>
        <v>665.3</v>
      </c>
      <c r="S46" s="22">
        <f>435.79</f>
        <v>435.79</v>
      </c>
      <c r="T46" s="22">
        <v>274.20999999999998</v>
      </c>
      <c r="U46" s="16">
        <f t="shared" si="7"/>
        <v>-161.58000000000004</v>
      </c>
      <c r="V46" s="45">
        <f t="shared" si="6"/>
        <v>-0.37077491452305017</v>
      </c>
    </row>
    <row r="47" spans="1:22" x14ac:dyDescent="0.2">
      <c r="A47" s="3">
        <v>601502</v>
      </c>
      <c r="B47" s="3" t="s">
        <v>331</v>
      </c>
      <c r="C47" s="1">
        <v>613220</v>
      </c>
      <c r="D47" s="1" t="s">
        <v>34</v>
      </c>
      <c r="E47" s="22">
        <v>265.27</v>
      </c>
      <c r="F47" s="22">
        <v>527.4</v>
      </c>
      <c r="G47" s="22">
        <v>113.64</v>
      </c>
      <c r="H47" s="22">
        <v>351.12</v>
      </c>
      <c r="I47" s="22">
        <v>117.04</v>
      </c>
      <c r="J47" s="22">
        <v>124.48</v>
      </c>
      <c r="K47" s="22">
        <v>124.48</v>
      </c>
      <c r="L47" s="22"/>
      <c r="M47" s="22">
        <v>128.21</v>
      </c>
      <c r="N47" s="42">
        <v>132.08000000000001</v>
      </c>
      <c r="O47" s="42">
        <f>136.01+2079.23</f>
        <v>2215.2399999999998</v>
      </c>
      <c r="P47" s="42">
        <f>136.04+2002.97</f>
        <v>2139.0100000000002</v>
      </c>
      <c r="Q47" s="42">
        <f>1895.58</f>
        <v>1895.58</v>
      </c>
      <c r="R47" s="42">
        <f>7393.02</f>
        <v>7393.02</v>
      </c>
      <c r="S47" s="42">
        <f>8113.6</f>
        <v>8113.6</v>
      </c>
      <c r="T47" s="42">
        <f>197.02+8012.17</f>
        <v>8209.19</v>
      </c>
      <c r="U47" s="16">
        <f t="shared" si="7"/>
        <v>95.590000000000146</v>
      </c>
      <c r="V47" s="45">
        <f t="shared" si="6"/>
        <v>1.1781453362255983E-2</v>
      </c>
    </row>
    <row r="48" spans="1:22" x14ac:dyDescent="0.2">
      <c r="A48" s="3">
        <v>601509</v>
      </c>
      <c r="B48" s="3" t="s">
        <v>35</v>
      </c>
      <c r="C48" s="1">
        <v>613235</v>
      </c>
      <c r="D48" s="1" t="s">
        <v>35</v>
      </c>
      <c r="E48" s="22">
        <v>12500</v>
      </c>
      <c r="F48" s="22">
        <v>2684.96</v>
      </c>
      <c r="G48" s="22"/>
      <c r="H48" s="22"/>
      <c r="I48" s="22">
        <v>3221</v>
      </c>
      <c r="J48" s="22"/>
      <c r="K48" s="22"/>
      <c r="L48" s="22"/>
      <c r="M48" s="22"/>
      <c r="N48" s="22"/>
      <c r="O48" s="22"/>
      <c r="P48" s="22"/>
      <c r="Q48" s="22"/>
      <c r="R48" s="39">
        <v>16000</v>
      </c>
      <c r="S48" s="39">
        <f>163.48</f>
        <v>163.47999999999999</v>
      </c>
      <c r="T48" s="39">
        <v>1556.93</v>
      </c>
      <c r="U48" s="16">
        <f t="shared" si="7"/>
        <v>1393.45</v>
      </c>
      <c r="V48" s="45">
        <f t="shared" si="6"/>
        <v>8.5236726205040387</v>
      </c>
    </row>
    <row r="49" spans="1:22" x14ac:dyDescent="0.2">
      <c r="A49" s="3">
        <v>601513</v>
      </c>
      <c r="B49" s="3" t="s">
        <v>432</v>
      </c>
      <c r="C49" s="1">
        <v>613400</v>
      </c>
      <c r="D49" s="1" t="s">
        <v>36</v>
      </c>
      <c r="E49" s="22">
        <v>127670.24</v>
      </c>
      <c r="F49" s="22">
        <v>198086.24000000002</v>
      </c>
      <c r="G49" s="22">
        <v>194666.33000000002</v>
      </c>
      <c r="H49" s="22">
        <v>-74437.930000000008</v>
      </c>
      <c r="I49" s="22">
        <v>-69603.349999999977</v>
      </c>
      <c r="J49" s="22">
        <v>268322.77999999997</v>
      </c>
      <c r="K49" s="22">
        <v>152744.21000000002</v>
      </c>
      <c r="L49" s="22">
        <v>143398.37999999998</v>
      </c>
      <c r="M49" s="22">
        <v>156228.13</v>
      </c>
      <c r="N49" s="42">
        <v>688992.08999999985</v>
      </c>
      <c r="O49" s="42">
        <f>101978.28+(-821.42)</f>
        <v>101156.86</v>
      </c>
      <c r="P49" s="42">
        <f>6612.18999999999+(-2653.08)</f>
        <v>3959.1099999999897</v>
      </c>
      <c r="Q49" s="49">
        <f>-9011.61000000002+(-5984.36)</f>
        <v>-14995.970000000019</v>
      </c>
      <c r="R49" s="39">
        <f>65270.36+16667.44</f>
        <v>81937.8</v>
      </c>
      <c r="S49" s="41">
        <f>290724.51+(-6160.93)</f>
        <v>284563.58</v>
      </c>
      <c r="T49" s="41">
        <f>(-47270.69)+15544.4</f>
        <v>-31726.29</v>
      </c>
      <c r="U49" s="16">
        <f t="shared" si="7"/>
        <v>-316289.87</v>
      </c>
      <c r="V49" s="45">
        <f t="shared" si="6"/>
        <v>-1.1114910418262238</v>
      </c>
    </row>
    <row r="50" spans="1:22" x14ac:dyDescent="0.2">
      <c r="A50" s="3">
        <v>601508</v>
      </c>
      <c r="B50" s="3" t="s">
        <v>307</v>
      </c>
      <c r="C50" s="1">
        <v>613410</v>
      </c>
      <c r="D50" s="1" t="s">
        <v>37</v>
      </c>
      <c r="E50" s="22"/>
      <c r="F50" s="22"/>
      <c r="G50" s="22"/>
      <c r="H50" s="22">
        <v>258874.38</v>
      </c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16">
        <f t="shared" si="7"/>
        <v>0</v>
      </c>
      <c r="V50" s="45" t="e">
        <f t="shared" si="6"/>
        <v>#DIV/0!</v>
      </c>
    </row>
    <row r="51" spans="1:22" x14ac:dyDescent="0.2">
      <c r="A51" s="3">
        <v>601500</v>
      </c>
      <c r="B51" s="3" t="s">
        <v>330</v>
      </c>
      <c r="C51" s="1">
        <v>621100</v>
      </c>
      <c r="D51" s="1" t="s">
        <v>38</v>
      </c>
      <c r="E51" s="22">
        <v>88921.310000000012</v>
      </c>
      <c r="F51" s="22">
        <v>90629.940000000031</v>
      </c>
      <c r="G51" s="22">
        <v>95981.38</v>
      </c>
      <c r="H51" s="22">
        <v>108136.67</v>
      </c>
      <c r="I51" s="22">
        <v>55443.049999999996</v>
      </c>
      <c r="J51" s="22">
        <v>71342.430000000008</v>
      </c>
      <c r="K51" s="22">
        <v>57652.79</v>
      </c>
      <c r="L51" s="22">
        <v>76257.03</v>
      </c>
      <c r="M51" s="22">
        <v>119351.96</v>
      </c>
      <c r="N51" s="42">
        <v>129917.5</v>
      </c>
      <c r="O51" s="42">
        <f>161551.23+4249</f>
        <v>165800.23000000001</v>
      </c>
      <c r="P51" s="42">
        <f>153404.84+4008.7</f>
        <v>157413.54</v>
      </c>
      <c r="Q51" s="49">
        <f>139756.34+4243.54</f>
        <v>143999.88</v>
      </c>
      <c r="R51" s="39">
        <f>251779.1+12367.21</f>
        <v>264146.31</v>
      </c>
      <c r="S51" s="41">
        <f>273552.12+13797.01</f>
        <v>287349.13</v>
      </c>
      <c r="T51" s="41">
        <f>295956.31+12222.45</f>
        <v>308178.76</v>
      </c>
      <c r="U51" s="16">
        <f t="shared" si="7"/>
        <v>20829.630000000005</v>
      </c>
      <c r="V51" s="45">
        <f t="shared" si="6"/>
        <v>7.2488926623859987E-2</v>
      </c>
    </row>
    <row r="52" spans="1:22" x14ac:dyDescent="0.2">
      <c r="A52" s="3">
        <v>601500</v>
      </c>
      <c r="B52" s="3" t="s">
        <v>330</v>
      </c>
      <c r="C52" s="1">
        <v>621110</v>
      </c>
      <c r="D52" s="1" t="s">
        <v>39</v>
      </c>
      <c r="E52" s="22">
        <v>8348.7199999999993</v>
      </c>
      <c r="F52" s="22">
        <v>9432.8100000000013</v>
      </c>
      <c r="G52" s="22">
        <v>10055.82</v>
      </c>
      <c r="H52" s="22">
        <v>11426.369999999999</v>
      </c>
      <c r="I52" s="22">
        <v>4092.05</v>
      </c>
      <c r="J52" s="22">
        <v>5290.97</v>
      </c>
      <c r="K52" s="22">
        <v>4641</v>
      </c>
      <c r="L52" s="22">
        <v>5258.9000000000005</v>
      </c>
      <c r="M52" s="22">
        <v>5456.1</v>
      </c>
      <c r="N52" s="42">
        <v>5619.78</v>
      </c>
      <c r="O52" s="42">
        <v>5788.39</v>
      </c>
      <c r="P52" s="42">
        <v>6608.52</v>
      </c>
      <c r="Q52" s="49">
        <v>-861.98</v>
      </c>
      <c r="R52" s="49"/>
      <c r="S52" s="49"/>
      <c r="T52" s="49"/>
      <c r="U52" s="16">
        <f t="shared" si="7"/>
        <v>0</v>
      </c>
      <c r="V52" s="45" t="e">
        <f t="shared" si="6"/>
        <v>#DIV/0!</v>
      </c>
    </row>
    <row r="53" spans="1:22" x14ac:dyDescent="0.2">
      <c r="A53" s="3">
        <v>601500</v>
      </c>
      <c r="B53" s="3" t="s">
        <v>330</v>
      </c>
      <c r="C53" s="1">
        <v>621120</v>
      </c>
      <c r="D53" s="1" t="s">
        <v>40</v>
      </c>
      <c r="U53" s="16">
        <f t="shared" si="7"/>
        <v>0</v>
      </c>
      <c r="V53" s="45" t="e">
        <f t="shared" si="6"/>
        <v>#DIV/0!</v>
      </c>
    </row>
    <row r="54" spans="1:22" x14ac:dyDescent="0.2">
      <c r="A54" s="3">
        <v>601500</v>
      </c>
      <c r="B54" s="3" t="s">
        <v>330</v>
      </c>
      <c r="C54" s="1">
        <v>621130</v>
      </c>
      <c r="D54" s="1" t="s">
        <v>41</v>
      </c>
      <c r="E54" s="22">
        <v>10980.66</v>
      </c>
      <c r="F54" s="22">
        <v>11035.46</v>
      </c>
      <c r="G54" s="22">
        <v>11381.400000000001</v>
      </c>
      <c r="H54" s="22">
        <v>11731.45</v>
      </c>
      <c r="I54" s="22">
        <v>22849.96</v>
      </c>
      <c r="J54" s="22">
        <v>11448.98</v>
      </c>
      <c r="K54" s="22">
        <v>11720.48</v>
      </c>
      <c r="L54" s="22">
        <v>13280.94</v>
      </c>
      <c r="M54" s="22">
        <v>9008.52</v>
      </c>
      <c r="N54" s="42">
        <v>1958.19</v>
      </c>
      <c r="O54" s="22"/>
      <c r="P54" s="22"/>
      <c r="Q54" s="22"/>
      <c r="R54" s="22"/>
      <c r="S54" s="22"/>
      <c r="T54" s="22"/>
      <c r="U54" s="16">
        <f t="shared" si="7"/>
        <v>0</v>
      </c>
      <c r="V54" s="45" t="e">
        <f t="shared" si="6"/>
        <v>#DIV/0!</v>
      </c>
    </row>
    <row r="55" spans="1:22" x14ac:dyDescent="0.2">
      <c r="A55" s="3">
        <v>601500</v>
      </c>
      <c r="B55" s="3" t="s">
        <v>330</v>
      </c>
      <c r="C55" s="1">
        <v>621140</v>
      </c>
      <c r="D55" s="1" t="s">
        <v>42</v>
      </c>
      <c r="E55" s="22">
        <v>29995.81</v>
      </c>
      <c r="F55" s="22">
        <v>29794.02</v>
      </c>
      <c r="G55" s="22">
        <v>38526.35</v>
      </c>
      <c r="H55" s="22">
        <v>47488.380000000005</v>
      </c>
      <c r="I55" s="22">
        <v>49123.479999999996</v>
      </c>
      <c r="J55" s="22">
        <v>58064.36</v>
      </c>
      <c r="K55" s="22">
        <v>48688.31</v>
      </c>
      <c r="L55" s="22">
        <v>54964.920000000006</v>
      </c>
      <c r="M55" s="22">
        <v>72105.170000000013</v>
      </c>
      <c r="N55" s="42">
        <v>62756.249999999993</v>
      </c>
      <c r="O55" s="42">
        <f>63063.35+3891.02</f>
        <v>66954.37</v>
      </c>
      <c r="P55" s="42">
        <f>70607.82+2881.39</f>
        <v>73489.210000000006</v>
      </c>
      <c r="Q55" s="49">
        <f>81030.63+3450.66</f>
        <v>84481.290000000008</v>
      </c>
      <c r="R55" s="49"/>
      <c r="S55" s="49"/>
      <c r="T55" s="49"/>
      <c r="U55" s="16">
        <f t="shared" si="7"/>
        <v>0</v>
      </c>
      <c r="V55" s="45" t="e">
        <f t="shared" si="6"/>
        <v>#DIV/0!</v>
      </c>
    </row>
    <row r="56" spans="1:22" x14ac:dyDescent="0.2">
      <c r="A56" s="3">
        <v>601500</v>
      </c>
      <c r="B56" s="3" t="s">
        <v>330</v>
      </c>
      <c r="C56" s="1">
        <v>621150</v>
      </c>
      <c r="D56" s="1" t="s">
        <v>43</v>
      </c>
      <c r="E56" s="22">
        <v>31986.47</v>
      </c>
      <c r="F56" s="22">
        <v>28860.25</v>
      </c>
      <c r="G56" s="22">
        <v>35759.33</v>
      </c>
      <c r="H56" s="22">
        <v>42639.270000000004</v>
      </c>
      <c r="I56" s="22">
        <v>37918.339999999997</v>
      </c>
      <c r="J56" s="22">
        <v>41335.659999999996</v>
      </c>
      <c r="K56" s="22">
        <v>40123.75</v>
      </c>
      <c r="L56" s="22">
        <v>36794.700000000004</v>
      </c>
      <c r="M56" s="22">
        <v>22423.739999999998</v>
      </c>
      <c r="N56" s="42">
        <v>26163.090000000004</v>
      </c>
      <c r="O56" s="42">
        <v>27907.840000000004</v>
      </c>
      <c r="P56" s="42">
        <f>27502.26+632.04</f>
        <v>28134.3</v>
      </c>
      <c r="Q56" s="49">
        <v>13751.130000000001</v>
      </c>
      <c r="R56" s="49"/>
      <c r="S56" s="49"/>
      <c r="T56" s="49"/>
      <c r="U56" s="16">
        <f t="shared" si="7"/>
        <v>0</v>
      </c>
      <c r="V56" s="45" t="e">
        <f t="shared" si="6"/>
        <v>#DIV/0!</v>
      </c>
    </row>
    <row r="57" spans="1:22" x14ac:dyDescent="0.2">
      <c r="A57" s="3">
        <v>601505</v>
      </c>
      <c r="B57" s="3" t="s">
        <v>333</v>
      </c>
      <c r="C57" s="1">
        <v>622100</v>
      </c>
      <c r="D57" s="1" t="s">
        <v>44</v>
      </c>
      <c r="E57" s="22">
        <v>10894.58</v>
      </c>
      <c r="F57" s="22">
        <v>70368.990000000005</v>
      </c>
      <c r="G57" s="22">
        <v>32074.68</v>
      </c>
      <c r="H57" s="22">
        <v>3110.12</v>
      </c>
      <c r="I57" s="22">
        <v>3725.4300000000003</v>
      </c>
      <c r="J57" s="22">
        <v>401.51</v>
      </c>
      <c r="K57" s="22">
        <v>19370.580000000002</v>
      </c>
      <c r="L57" s="22">
        <v>9699.31</v>
      </c>
      <c r="M57" s="22">
        <v>63372</v>
      </c>
      <c r="N57" s="42">
        <v>34020.510000000009</v>
      </c>
      <c r="O57" s="42">
        <f>161270.06+7462.43</f>
        <v>168732.49</v>
      </c>
      <c r="P57" s="42">
        <f>110727.92+3584.17</f>
        <v>114312.09</v>
      </c>
      <c r="Q57" s="49">
        <f>94070.9+2834.28</f>
        <v>96905.18</v>
      </c>
      <c r="R57" s="39">
        <f>251087.45+12314.17</f>
        <v>263401.62</v>
      </c>
      <c r="S57" s="41">
        <f>140636.63+30198.13</f>
        <v>170834.76</v>
      </c>
      <c r="T57" s="41">
        <f>396787.19+16686.46</f>
        <v>413473.65</v>
      </c>
      <c r="U57" s="16">
        <f t="shared" si="7"/>
        <v>242638.89</v>
      </c>
      <c r="V57" s="45">
        <f t="shared" si="6"/>
        <v>1.420313348407549</v>
      </c>
    </row>
    <row r="58" spans="1:22" x14ac:dyDescent="0.2">
      <c r="A58" s="3">
        <v>601505</v>
      </c>
      <c r="B58" s="3" t="s">
        <v>333</v>
      </c>
      <c r="C58" s="1">
        <v>622110</v>
      </c>
      <c r="D58" s="58" t="s">
        <v>312</v>
      </c>
      <c r="E58" s="22"/>
      <c r="F58" s="22"/>
      <c r="G58" s="22"/>
      <c r="H58" s="22"/>
      <c r="I58" s="22"/>
      <c r="J58" s="22"/>
      <c r="K58" s="22"/>
      <c r="L58" s="22"/>
      <c r="M58" s="22"/>
      <c r="N58" s="42"/>
      <c r="O58" s="42"/>
      <c r="P58" s="42">
        <v>23910.260000000002</v>
      </c>
      <c r="Q58" s="49">
        <v>15940.18</v>
      </c>
      <c r="R58" s="49"/>
      <c r="S58" s="49"/>
      <c r="T58" s="49"/>
      <c r="U58" s="16">
        <f t="shared" si="7"/>
        <v>0</v>
      </c>
      <c r="V58" s="45" t="e">
        <f t="shared" si="6"/>
        <v>#DIV/0!</v>
      </c>
    </row>
    <row r="59" spans="1:22" x14ac:dyDescent="0.2">
      <c r="A59" s="3">
        <v>601505</v>
      </c>
      <c r="B59" s="3" t="s">
        <v>333</v>
      </c>
      <c r="C59" s="57">
        <v>622130</v>
      </c>
      <c r="D59" s="57" t="s">
        <v>179</v>
      </c>
      <c r="E59" s="22"/>
      <c r="F59" s="22"/>
      <c r="G59" s="22"/>
      <c r="H59" s="22"/>
      <c r="I59" s="22"/>
      <c r="J59" s="22">
        <v>9432.880000000001</v>
      </c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16">
        <f t="shared" si="7"/>
        <v>0</v>
      </c>
      <c r="V59" s="45" t="e">
        <f t="shared" si="6"/>
        <v>#DIV/0!</v>
      </c>
    </row>
    <row r="60" spans="1:22" x14ac:dyDescent="0.2">
      <c r="A60" s="3">
        <v>601505</v>
      </c>
      <c r="B60" s="3" t="s">
        <v>333</v>
      </c>
      <c r="C60" s="1">
        <v>622140</v>
      </c>
      <c r="D60" s="1" t="s">
        <v>45</v>
      </c>
      <c r="E60" s="22">
        <v>53909.729999999996</v>
      </c>
      <c r="F60" s="22">
        <v>70633.490000000005</v>
      </c>
      <c r="G60" s="22">
        <v>14802.210000000001</v>
      </c>
      <c r="H60" s="22">
        <v>55357.55</v>
      </c>
      <c r="I60" s="22">
        <v>164734.68</v>
      </c>
      <c r="J60" s="22">
        <v>61673.06</v>
      </c>
      <c r="K60" s="22">
        <v>67004.38</v>
      </c>
      <c r="L60" s="22">
        <v>21333.120000000003</v>
      </c>
      <c r="M60" s="22">
        <v>84003.7</v>
      </c>
      <c r="N60" s="42">
        <v>74260.160000000003</v>
      </c>
      <c r="O60" s="42">
        <v>13963.46</v>
      </c>
      <c r="P60" s="42">
        <v>46225.81</v>
      </c>
      <c r="Q60" s="49">
        <f>41539.64+7006.37</f>
        <v>48546.01</v>
      </c>
      <c r="R60" s="49"/>
      <c r="S60" s="49"/>
      <c r="T60" s="49"/>
      <c r="U60" s="16">
        <f t="shared" si="7"/>
        <v>0</v>
      </c>
      <c r="V60" s="45" t="e">
        <f t="shared" si="6"/>
        <v>#DIV/0!</v>
      </c>
    </row>
    <row r="61" spans="1:22" x14ac:dyDescent="0.2">
      <c r="A61" s="3">
        <v>601505</v>
      </c>
      <c r="B61" s="3" t="s">
        <v>333</v>
      </c>
      <c r="C61" s="57">
        <v>622150</v>
      </c>
      <c r="D61" s="57" t="s">
        <v>180</v>
      </c>
      <c r="E61" s="22"/>
      <c r="F61" s="22"/>
      <c r="G61" s="22"/>
      <c r="H61" s="22">
        <v>55738.83</v>
      </c>
      <c r="I61" s="22"/>
      <c r="J61" s="22"/>
      <c r="K61" s="22"/>
      <c r="L61" s="22"/>
      <c r="M61" s="22"/>
      <c r="N61" s="22"/>
      <c r="O61" s="42">
        <v>9006.7100000000009</v>
      </c>
      <c r="P61" s="42"/>
      <c r="Q61" s="49">
        <v>70534.8</v>
      </c>
      <c r="R61" s="49"/>
      <c r="S61" s="49"/>
      <c r="T61" s="49"/>
      <c r="U61" s="16">
        <f t="shared" si="7"/>
        <v>0</v>
      </c>
      <c r="V61" s="45" t="e">
        <f t="shared" si="6"/>
        <v>#DIV/0!</v>
      </c>
    </row>
    <row r="62" spans="1:22" x14ac:dyDescent="0.2">
      <c r="A62" s="3">
        <v>601506</v>
      </c>
      <c r="B62" s="3" t="s">
        <v>334</v>
      </c>
      <c r="C62" s="1">
        <v>623100</v>
      </c>
      <c r="D62" s="1" t="s">
        <v>46</v>
      </c>
      <c r="E62" s="22">
        <v>4990.4000000000005</v>
      </c>
      <c r="F62" s="22">
        <v>19433</v>
      </c>
      <c r="G62" s="22">
        <v>13143.11</v>
      </c>
      <c r="H62" s="22">
        <v>6117.37</v>
      </c>
      <c r="I62" s="22"/>
      <c r="J62" s="22"/>
      <c r="K62" s="22">
        <v>12380.23</v>
      </c>
      <c r="L62" s="22"/>
      <c r="M62" s="22">
        <v>2177.8100000000004</v>
      </c>
      <c r="N62" s="42">
        <v>2149.62</v>
      </c>
      <c r="O62" s="42">
        <f>30960.83+2821.7</f>
        <v>33782.53</v>
      </c>
      <c r="P62" s="42">
        <f>64712.36+830.79</f>
        <v>65543.149999999994</v>
      </c>
      <c r="Q62" s="49">
        <f>54023.04+953.69</f>
        <v>54976.73</v>
      </c>
      <c r="R62" s="39">
        <f>33506.64+3279.07</f>
        <v>36785.71</v>
      </c>
      <c r="S62" s="41">
        <f>53164.43+9799.61</f>
        <v>62964.04</v>
      </c>
      <c r="T62" s="41">
        <f>99828.76+4569.43</f>
        <v>104398.19</v>
      </c>
      <c r="U62" s="16">
        <f t="shared" si="7"/>
        <v>41434.15</v>
      </c>
      <c r="V62" s="45">
        <f t="shared" si="6"/>
        <v>0.65806053741151305</v>
      </c>
    </row>
    <row r="63" spans="1:22" x14ac:dyDescent="0.2">
      <c r="A63" s="3">
        <v>601506</v>
      </c>
      <c r="B63" s="3" t="s">
        <v>334</v>
      </c>
      <c r="C63" s="1">
        <v>623110</v>
      </c>
      <c r="D63" s="1" t="s">
        <v>47</v>
      </c>
      <c r="U63" s="16">
        <f t="shared" si="7"/>
        <v>0</v>
      </c>
      <c r="V63" s="45" t="e">
        <f t="shared" si="6"/>
        <v>#DIV/0!</v>
      </c>
    </row>
    <row r="64" spans="1:22" x14ac:dyDescent="0.2">
      <c r="A64" s="3">
        <v>601506</v>
      </c>
      <c r="B64" s="3" t="s">
        <v>334</v>
      </c>
      <c r="C64" s="1">
        <v>623120</v>
      </c>
      <c r="D64" s="1" t="s">
        <v>48</v>
      </c>
      <c r="Q64" s="49">
        <v>17391.400000000001</v>
      </c>
      <c r="R64" s="49"/>
      <c r="S64" s="49"/>
      <c r="T64" s="49"/>
      <c r="U64" s="16">
        <f t="shared" si="7"/>
        <v>0</v>
      </c>
      <c r="V64" s="45" t="e">
        <f t="shared" si="6"/>
        <v>#DIV/0!</v>
      </c>
    </row>
    <row r="65" spans="1:22" x14ac:dyDescent="0.2">
      <c r="A65" s="3">
        <v>601506</v>
      </c>
      <c r="B65" s="3" t="s">
        <v>334</v>
      </c>
      <c r="C65" s="1">
        <v>623140</v>
      </c>
      <c r="D65" s="1" t="s">
        <v>49</v>
      </c>
      <c r="U65" s="16">
        <f t="shared" si="7"/>
        <v>0</v>
      </c>
      <c r="V65" s="45" t="e">
        <f t="shared" si="6"/>
        <v>#DIV/0!</v>
      </c>
    </row>
    <row r="66" spans="1:22" x14ac:dyDescent="0.2">
      <c r="A66" s="3">
        <v>601506</v>
      </c>
      <c r="B66" s="3" t="s">
        <v>334</v>
      </c>
      <c r="C66" s="1">
        <v>623150</v>
      </c>
      <c r="D66" s="1" t="s">
        <v>50</v>
      </c>
      <c r="E66" s="22"/>
      <c r="F66" s="22"/>
      <c r="G66" s="22"/>
      <c r="H66" s="22"/>
      <c r="I66" s="22">
        <v>33239.46</v>
      </c>
      <c r="J66" s="22">
        <v>6236.09</v>
      </c>
      <c r="K66" s="22">
        <v>12163.640000000001</v>
      </c>
      <c r="L66" s="22"/>
      <c r="M66" s="22"/>
      <c r="N66" s="42">
        <v>6790.3600000000006</v>
      </c>
      <c r="O66" s="22"/>
      <c r="P66" s="22">
        <v>9738.2800000000007</v>
      </c>
      <c r="Q66" s="49">
        <f>6492.18+1954.19</f>
        <v>8446.3700000000008</v>
      </c>
      <c r="R66" s="49"/>
      <c r="S66" s="49"/>
      <c r="T66" s="49"/>
      <c r="U66" s="16">
        <f t="shared" si="7"/>
        <v>0</v>
      </c>
      <c r="V66" s="45" t="e">
        <f t="shared" si="6"/>
        <v>#DIV/0!</v>
      </c>
    </row>
    <row r="67" spans="1:22" x14ac:dyDescent="0.2">
      <c r="A67" s="3">
        <v>601506</v>
      </c>
      <c r="B67" s="3" t="s">
        <v>334</v>
      </c>
      <c r="C67" s="1">
        <v>623160</v>
      </c>
      <c r="D67" s="1" t="s">
        <v>51</v>
      </c>
      <c r="U67" s="16">
        <f t="shared" si="7"/>
        <v>0</v>
      </c>
      <c r="V67" s="45" t="e">
        <f t="shared" si="6"/>
        <v>#DIV/0!</v>
      </c>
    </row>
    <row r="68" spans="1:22" x14ac:dyDescent="0.2">
      <c r="A68" s="3">
        <v>601508</v>
      </c>
      <c r="B68" s="3" t="s">
        <v>307</v>
      </c>
      <c r="C68" s="1">
        <v>624100</v>
      </c>
      <c r="D68" s="1" t="s">
        <v>52</v>
      </c>
      <c r="E68" s="22">
        <v>27097.45</v>
      </c>
      <c r="F68" s="22">
        <v>18676.600000000002</v>
      </c>
      <c r="G68" s="22">
        <v>32382.199999999997</v>
      </c>
      <c r="H68" s="22">
        <v>34453.72</v>
      </c>
      <c r="I68" s="22">
        <v>13801.5</v>
      </c>
      <c r="J68" s="22">
        <v>13769.24</v>
      </c>
      <c r="K68" s="22">
        <v>13384.48</v>
      </c>
      <c r="L68" s="22">
        <v>270</v>
      </c>
      <c r="M68" s="22">
        <v>0</v>
      </c>
      <c r="N68" s="42">
        <v>135</v>
      </c>
      <c r="O68" s="22">
        <f>58.15</f>
        <v>58.15</v>
      </c>
      <c r="P68" s="22">
        <f>270+1369.93</f>
        <v>1639.93</v>
      </c>
      <c r="Q68" s="49">
        <f>97.64+370.19</f>
        <v>467.83</v>
      </c>
      <c r="R68" s="39">
        <f>200.1+1428.31</f>
        <v>1628.4099999999999</v>
      </c>
      <c r="S68" s="41">
        <f>108+1398.21</f>
        <v>1506.21</v>
      </c>
      <c r="T68" s="41">
        <f>27+885.58</f>
        <v>912.58</v>
      </c>
      <c r="U68" s="16">
        <f t="shared" si="7"/>
        <v>-593.63</v>
      </c>
      <c r="V68" s="45">
        <f t="shared" si="6"/>
        <v>-0.39412166962110196</v>
      </c>
    </row>
    <row r="69" spans="1:22" x14ac:dyDescent="0.2">
      <c r="A69" s="3">
        <v>601508</v>
      </c>
      <c r="B69" s="3" t="s">
        <v>307</v>
      </c>
      <c r="C69" s="57">
        <v>624110</v>
      </c>
      <c r="D69" s="57" t="s">
        <v>255</v>
      </c>
      <c r="E69" s="22"/>
      <c r="F69" s="22"/>
      <c r="G69" s="22">
        <v>832.61</v>
      </c>
      <c r="H69" s="22">
        <v>853.46</v>
      </c>
      <c r="I69" s="22">
        <v>7661.7300000000005</v>
      </c>
      <c r="J69" s="22">
        <v>11724.15</v>
      </c>
      <c r="K69" s="22"/>
      <c r="L69" s="22"/>
      <c r="M69" s="22"/>
      <c r="N69" s="22"/>
      <c r="O69" s="22"/>
      <c r="P69" s="22"/>
      <c r="Q69" s="22"/>
      <c r="R69" s="22"/>
      <c r="S69" s="22"/>
      <c r="T69" s="22"/>
      <c r="U69" s="16">
        <f t="shared" si="7"/>
        <v>0</v>
      </c>
      <c r="V69" s="45" t="e">
        <f t="shared" si="6"/>
        <v>#DIV/0!</v>
      </c>
    </row>
    <row r="70" spans="1:22" x14ac:dyDescent="0.2">
      <c r="A70" s="3">
        <v>601508</v>
      </c>
      <c r="B70" s="3" t="s">
        <v>307</v>
      </c>
      <c r="C70" s="1">
        <v>624120</v>
      </c>
      <c r="D70" s="1" t="s">
        <v>53</v>
      </c>
      <c r="E70" s="22">
        <v>2610</v>
      </c>
      <c r="F70" s="22">
        <v>1740</v>
      </c>
      <c r="G70" s="22"/>
      <c r="H70" s="22"/>
      <c r="I70" s="22">
        <v>4300.0200000000004</v>
      </c>
      <c r="J70" s="22">
        <v>13823.19</v>
      </c>
      <c r="K70" s="22">
        <v>6538.54</v>
      </c>
      <c r="L70" s="22"/>
      <c r="M70" s="22"/>
      <c r="N70" s="22"/>
      <c r="O70" s="22"/>
      <c r="P70" s="22"/>
      <c r="Q70" s="22"/>
      <c r="R70" s="22"/>
      <c r="S70" s="22"/>
      <c r="T70" s="22"/>
      <c r="U70" s="16">
        <f t="shared" si="7"/>
        <v>0</v>
      </c>
      <c r="V70" s="45" t="e">
        <f t="shared" si="6"/>
        <v>#DIV/0!</v>
      </c>
    </row>
    <row r="71" spans="1:22" x14ac:dyDescent="0.2">
      <c r="A71" s="3">
        <v>601508</v>
      </c>
      <c r="B71" s="3" t="s">
        <v>307</v>
      </c>
      <c r="C71" s="1">
        <v>624125</v>
      </c>
      <c r="D71" s="1" t="s">
        <v>54</v>
      </c>
      <c r="E71" s="22"/>
      <c r="F71" s="22"/>
      <c r="G71" s="22">
        <v>1030.3</v>
      </c>
      <c r="H71" s="22">
        <v>1056.25</v>
      </c>
      <c r="I71" s="22"/>
      <c r="J71" s="22">
        <v>2326.7600000000002</v>
      </c>
      <c r="K71" s="22">
        <v>2692.34</v>
      </c>
      <c r="L71" s="22"/>
      <c r="M71" s="22"/>
      <c r="N71" s="22"/>
      <c r="O71" s="22"/>
      <c r="P71" s="22"/>
      <c r="Q71" s="22"/>
      <c r="R71" s="22"/>
      <c r="S71" s="22"/>
      <c r="T71" s="22"/>
      <c r="U71" s="16">
        <f t="shared" si="7"/>
        <v>0</v>
      </c>
      <c r="V71" s="45" t="e">
        <f t="shared" si="6"/>
        <v>#DIV/0!</v>
      </c>
    </row>
    <row r="72" spans="1:22" x14ac:dyDescent="0.2">
      <c r="A72" s="3">
        <v>601508</v>
      </c>
      <c r="B72" s="3" t="s">
        <v>307</v>
      </c>
      <c r="C72" s="57">
        <v>624130</v>
      </c>
      <c r="D72" s="57" t="s">
        <v>256</v>
      </c>
      <c r="E72" s="22"/>
      <c r="F72" s="22"/>
      <c r="G72" s="22">
        <v>733.79</v>
      </c>
      <c r="H72" s="22">
        <v>751.97</v>
      </c>
      <c r="I72" s="22"/>
      <c r="J72" s="22">
        <v>770.98</v>
      </c>
      <c r="K72" s="22"/>
      <c r="L72" s="22"/>
      <c r="M72" s="22"/>
      <c r="N72" s="22"/>
      <c r="O72" s="22"/>
      <c r="P72" s="22"/>
      <c r="Q72" s="22"/>
      <c r="R72" s="22"/>
      <c r="S72" s="22"/>
      <c r="T72" s="22"/>
      <c r="U72" s="16">
        <f t="shared" si="7"/>
        <v>0</v>
      </c>
      <c r="V72" s="45" t="e">
        <f t="shared" si="6"/>
        <v>#DIV/0!</v>
      </c>
    </row>
    <row r="73" spans="1:22" x14ac:dyDescent="0.2">
      <c r="C73" s="3" t="s">
        <v>234</v>
      </c>
      <c r="D73" s="3" t="s">
        <v>235</v>
      </c>
      <c r="E73" s="22"/>
      <c r="F73" s="22"/>
      <c r="G73" s="22"/>
      <c r="H73" s="22"/>
      <c r="I73" s="22"/>
      <c r="J73" s="22"/>
      <c r="K73" s="22"/>
      <c r="L73" s="22"/>
      <c r="M73" s="22">
        <v>33106.25</v>
      </c>
      <c r="N73" s="22">
        <v>91332.05</v>
      </c>
      <c r="O73" s="22">
        <v>54700</v>
      </c>
      <c r="P73" s="22">
        <f>12213</f>
        <v>12213</v>
      </c>
      <c r="Q73" s="22"/>
      <c r="R73" s="22"/>
      <c r="S73" s="22"/>
      <c r="T73" s="22"/>
      <c r="U73" s="16">
        <f t="shared" si="7"/>
        <v>0</v>
      </c>
      <c r="V73" s="45" t="e">
        <f t="shared" si="6"/>
        <v>#DIV/0!</v>
      </c>
    </row>
    <row r="74" spans="1:22" x14ac:dyDescent="0.2">
      <c r="C74" s="1"/>
      <c r="D74" s="5" t="s">
        <v>230</v>
      </c>
      <c r="E74" s="6">
        <f>SUM(E27:E73)</f>
        <v>2742959.9600000009</v>
      </c>
      <c r="F74" s="6">
        <f t="shared" ref="F74:T74" si="8">SUM(F27:F73)</f>
        <v>2869911.7800000007</v>
      </c>
      <c r="G74" s="6">
        <f t="shared" si="8"/>
        <v>2754879.44</v>
      </c>
      <c r="H74" s="6">
        <f t="shared" si="8"/>
        <v>2963988.6300000004</v>
      </c>
      <c r="I74" s="6">
        <f t="shared" si="8"/>
        <v>2742272.6700000004</v>
      </c>
      <c r="J74" s="6">
        <f t="shared" si="8"/>
        <v>2922475.84</v>
      </c>
      <c r="K74" s="6">
        <f t="shared" si="8"/>
        <v>2876559.7199999997</v>
      </c>
      <c r="L74" s="6">
        <f t="shared" si="8"/>
        <v>2779751.1799999997</v>
      </c>
      <c r="M74" s="6">
        <f t="shared" si="8"/>
        <v>2788266.29</v>
      </c>
      <c r="N74" s="6">
        <f t="shared" si="8"/>
        <v>3442159.73</v>
      </c>
      <c r="O74" s="6">
        <f t="shared" si="8"/>
        <v>3316134.1100000003</v>
      </c>
      <c r="P74" s="6">
        <f t="shared" si="8"/>
        <v>3181194.8699999987</v>
      </c>
      <c r="Q74" s="6">
        <f t="shared" si="8"/>
        <v>3251525.42</v>
      </c>
      <c r="R74" s="6">
        <f t="shared" si="8"/>
        <v>3448985.76</v>
      </c>
      <c r="S74" s="6">
        <f t="shared" si="8"/>
        <v>3807855.7700000005</v>
      </c>
      <c r="T74" s="6">
        <f t="shared" si="8"/>
        <v>3117437.17</v>
      </c>
      <c r="U74" s="17">
        <f>SUM(U27:U73)</f>
        <v>-690418.6</v>
      </c>
      <c r="V74" s="45">
        <f t="shared" si="6"/>
        <v>-0.18131427283549659</v>
      </c>
    </row>
    <row r="75" spans="1:22" x14ac:dyDescent="0.2">
      <c r="A75" s="3">
        <v>602400</v>
      </c>
      <c r="B75" s="3" t="s">
        <v>499</v>
      </c>
      <c r="C75" s="1">
        <v>625100</v>
      </c>
      <c r="D75" s="1" t="s">
        <v>55</v>
      </c>
      <c r="E75" s="22">
        <v>78268.140000000029</v>
      </c>
      <c r="F75" s="22">
        <v>76765.94</v>
      </c>
      <c r="G75" s="22">
        <v>94388.609999999971</v>
      </c>
      <c r="H75" s="22">
        <v>105228.47000000003</v>
      </c>
      <c r="I75" s="22">
        <v>111152.48000000004</v>
      </c>
      <c r="J75" s="22">
        <v>118856.52000000006</v>
      </c>
      <c r="K75" s="22">
        <v>133302.87000000005</v>
      </c>
      <c r="L75" s="22">
        <v>116511.27</v>
      </c>
      <c r="M75" s="22">
        <v>113514.65999999999</v>
      </c>
      <c r="N75" s="42">
        <v>132041.49</v>
      </c>
      <c r="O75" s="48">
        <f>88333.24+5297.45</f>
        <v>93630.69</v>
      </c>
      <c r="P75" s="48">
        <f>81255.04+4606.87</f>
        <v>85861.909999999989</v>
      </c>
      <c r="Q75" s="49">
        <f>72059.34+4100.9</f>
        <v>76160.239999999991</v>
      </c>
      <c r="R75" s="39">
        <f>71410.85+7507.46</f>
        <v>78918.310000000012</v>
      </c>
      <c r="S75" s="41">
        <f>83956.72+9252.67</f>
        <v>93209.39</v>
      </c>
      <c r="T75" s="41">
        <f>80220.11+7938.85</f>
        <v>88158.96</v>
      </c>
      <c r="U75" s="16">
        <f t="shared" ref="U75:U88" si="9">T75-S75</f>
        <v>-5050.429999999993</v>
      </c>
      <c r="V75" s="45">
        <f t="shared" ref="V75:V91" si="10">U75/S75</f>
        <v>-5.4183704023811258E-2</v>
      </c>
    </row>
    <row r="76" spans="1:22" x14ac:dyDescent="0.2">
      <c r="A76" s="3">
        <v>602500</v>
      </c>
      <c r="B76" s="3" t="s">
        <v>336</v>
      </c>
      <c r="C76" s="1">
        <v>626100</v>
      </c>
      <c r="D76" s="1" t="s">
        <v>56</v>
      </c>
      <c r="E76" s="22">
        <v>-37198.550000000003</v>
      </c>
      <c r="F76" s="22">
        <v>-1538.74</v>
      </c>
      <c r="G76" s="22">
        <v>5731.59</v>
      </c>
      <c r="H76" s="22">
        <v>-2207.37</v>
      </c>
      <c r="I76" s="22">
        <v>-1805.43</v>
      </c>
      <c r="J76" s="22">
        <v>6671.59</v>
      </c>
      <c r="K76" s="22">
        <v>4562.92</v>
      </c>
      <c r="L76" s="22">
        <v>-133.25</v>
      </c>
      <c r="M76" s="22">
        <v>3010.24</v>
      </c>
      <c r="N76" s="42">
        <f>1927.66+552.97</f>
        <v>2480.63</v>
      </c>
      <c r="O76" s="48">
        <f>10840.3+357.91+21.76+0.01</f>
        <v>11219.98</v>
      </c>
      <c r="P76" s="48">
        <f>-3737.82+(-12.14)+161.97+0.01</f>
        <v>-3587.98</v>
      </c>
      <c r="Q76" s="49">
        <f>-1840.17+1438.51+12.46-0.01</f>
        <v>-389.21000000000009</v>
      </c>
      <c r="R76" s="39">
        <f>6794.21+176.81+1908.21-0.01</f>
        <v>8879.2199999999993</v>
      </c>
      <c r="S76" s="41">
        <f>397.06+(-431.41)+2720.89+(-0.02)</f>
        <v>2686.52</v>
      </c>
      <c r="T76" s="41">
        <f>5059.06+2101.9+610.98+(-0.02)</f>
        <v>7771.92</v>
      </c>
      <c r="U76" s="16">
        <f t="shared" si="9"/>
        <v>5085.3999999999996</v>
      </c>
      <c r="V76" s="45">
        <f t="shared" si="10"/>
        <v>1.8929321203638907</v>
      </c>
    </row>
    <row r="77" spans="1:22" x14ac:dyDescent="0.2">
      <c r="A77" s="3">
        <v>602100</v>
      </c>
      <c r="B77" s="3" t="s">
        <v>57</v>
      </c>
      <c r="C77" s="1">
        <v>626110</v>
      </c>
      <c r="D77" s="1" t="s">
        <v>57</v>
      </c>
      <c r="E77" s="22">
        <v>3802.2200000000003</v>
      </c>
      <c r="F77" s="22">
        <v>3795.5100000000007</v>
      </c>
      <c r="G77" s="22">
        <v>5335.6100000000006</v>
      </c>
      <c r="H77" s="22">
        <v>5942.1800000000012</v>
      </c>
      <c r="I77" s="22">
        <v>6884.7100000000009</v>
      </c>
      <c r="J77" s="22">
        <v>6798.369999999999</v>
      </c>
      <c r="K77" s="22">
        <v>7006.7900000000009</v>
      </c>
      <c r="L77" s="22">
        <v>7134.8000000000011</v>
      </c>
      <c r="M77" s="22">
        <v>7290.2899999999981</v>
      </c>
      <c r="N77" s="42">
        <v>7464.81</v>
      </c>
      <c r="O77" s="48">
        <f>7928.57+750.61</f>
        <v>8679.18</v>
      </c>
      <c r="P77" s="48">
        <f>8087.24+699.49</f>
        <v>8786.73</v>
      </c>
      <c r="Q77" s="49">
        <f>8265.53+648.94</f>
        <v>8914.4700000000012</v>
      </c>
      <c r="R77" s="39">
        <f>8009.59+1132.99</f>
        <v>9142.58</v>
      </c>
      <c r="S77" s="41">
        <f>9848.18+1712.65</f>
        <v>11560.83</v>
      </c>
      <c r="T77" s="41">
        <f>9447.75+1728.52</f>
        <v>11176.27</v>
      </c>
      <c r="U77" s="16">
        <f t="shared" si="9"/>
        <v>-384.55999999999949</v>
      </c>
      <c r="V77" s="45">
        <f t="shared" si="10"/>
        <v>-3.3264047650557918E-2</v>
      </c>
    </row>
    <row r="78" spans="1:22" x14ac:dyDescent="0.2">
      <c r="A78" s="3">
        <v>602101</v>
      </c>
      <c r="B78" s="3" t="s">
        <v>58</v>
      </c>
      <c r="C78" s="1">
        <v>626120</v>
      </c>
      <c r="D78" s="1" t="s">
        <v>58</v>
      </c>
      <c r="E78" s="22">
        <v>1058026.7700000003</v>
      </c>
      <c r="F78" s="22">
        <v>1224202.9499999995</v>
      </c>
      <c r="G78" s="22">
        <v>1411098.54</v>
      </c>
      <c r="H78" s="22">
        <v>1504608.5299999998</v>
      </c>
      <c r="I78" s="22">
        <v>1551043.3</v>
      </c>
      <c r="J78" s="22">
        <v>1638719.2600000002</v>
      </c>
      <c r="K78" s="22">
        <v>1738909.4000000001</v>
      </c>
      <c r="L78" s="22">
        <v>1771516.8899999997</v>
      </c>
      <c r="M78" s="22">
        <v>1969865.7899999996</v>
      </c>
      <c r="N78" s="42">
        <v>2124684.8900000006</v>
      </c>
      <c r="O78" s="48">
        <f>2232193.56+197991.3</f>
        <v>2430184.86</v>
      </c>
      <c r="P78" s="48">
        <f>2316211.35+195552.78</f>
        <v>2511764.13</v>
      </c>
      <c r="Q78" s="49">
        <f>2200340.61+181000.6</f>
        <v>2381341.21</v>
      </c>
      <c r="R78" s="39">
        <f>2316096.74+306198.16</f>
        <v>2622294.9000000004</v>
      </c>
      <c r="S78" s="41">
        <f>2505741.88+388308.1</f>
        <v>2894049.98</v>
      </c>
      <c r="T78" s="41">
        <f>2513974.27+370573.74</f>
        <v>2884548.01</v>
      </c>
      <c r="U78" s="16">
        <f t="shared" si="9"/>
        <v>-9501.9700000002049</v>
      </c>
      <c r="V78" s="45">
        <f t="shared" si="10"/>
        <v>-3.2832777822310467E-3</v>
      </c>
    </row>
    <row r="79" spans="1:22" x14ac:dyDescent="0.2">
      <c r="A79" s="3">
        <v>602200</v>
      </c>
      <c r="B79" s="3" t="s">
        <v>59</v>
      </c>
      <c r="C79" s="1">
        <v>626130</v>
      </c>
      <c r="D79" s="1" t="s">
        <v>59</v>
      </c>
      <c r="E79" s="22">
        <v>22987.42</v>
      </c>
      <c r="F79" s="22">
        <v>9718.6000000000022</v>
      </c>
      <c r="G79" s="22">
        <v>8717.2699999999986</v>
      </c>
      <c r="H79" s="22">
        <v>11014.579999999998</v>
      </c>
      <c r="I79" s="22">
        <v>27161.290000000005</v>
      </c>
      <c r="J79" s="22">
        <v>16243.059999999998</v>
      </c>
      <c r="K79" s="22">
        <v>20610.030000000002</v>
      </c>
      <c r="L79" s="22">
        <v>25690.340000000004</v>
      </c>
      <c r="M79" s="22">
        <v>12922.299999999997</v>
      </c>
      <c r="N79" s="42">
        <v>16459.510000000002</v>
      </c>
      <c r="O79" s="48">
        <f>13642.1+913.66</f>
        <v>14555.76</v>
      </c>
      <c r="P79" s="48">
        <f>8562.89+536.52</f>
        <v>9099.41</v>
      </c>
      <c r="Q79" s="49">
        <f>28638.93+1840.04</f>
        <v>30478.97</v>
      </c>
      <c r="R79" s="39">
        <f>24132.78+2828.1</f>
        <v>26960.879999999997</v>
      </c>
      <c r="S79" s="41">
        <f>419.41+45.67</f>
        <v>465.08000000000004</v>
      </c>
      <c r="T79" s="41">
        <f>7048.87+834.71</f>
        <v>7883.58</v>
      </c>
      <c r="U79" s="16">
        <f t="shared" si="9"/>
        <v>7418.5</v>
      </c>
      <c r="V79" s="45">
        <f t="shared" si="10"/>
        <v>15.951019179495999</v>
      </c>
    </row>
    <row r="80" spans="1:22" x14ac:dyDescent="0.2">
      <c r="A80" s="3">
        <v>602300</v>
      </c>
      <c r="B80" s="3" t="s">
        <v>60</v>
      </c>
      <c r="C80" s="1">
        <v>626141</v>
      </c>
      <c r="D80" s="1" t="s">
        <v>60</v>
      </c>
      <c r="E80" s="22">
        <v>475782.35000000003</v>
      </c>
      <c r="F80" s="22">
        <v>510554.15</v>
      </c>
      <c r="G80" s="22">
        <v>539666.72000000009</v>
      </c>
      <c r="H80" s="22">
        <v>575979.16999999993</v>
      </c>
      <c r="I80" s="22">
        <v>541024.81999999995</v>
      </c>
      <c r="J80" s="22">
        <v>561514.61</v>
      </c>
      <c r="K80" s="22">
        <v>573552.30999999982</v>
      </c>
      <c r="L80" s="22">
        <v>571706.46000000008</v>
      </c>
      <c r="M80" s="22">
        <v>635622.37</v>
      </c>
      <c r="N80" s="42">
        <v>647458.30999999994</v>
      </c>
      <c r="O80" s="48">
        <f>687203.49+46776.47</f>
        <v>733979.96</v>
      </c>
      <c r="P80" s="48">
        <f>682881.85+44009.93</f>
        <v>726891.78</v>
      </c>
      <c r="Q80" s="49">
        <f>685210.12+42822.56</f>
        <v>728032.67999999993</v>
      </c>
      <c r="R80" s="39">
        <f>696824.92+78997.4</f>
        <v>775822.32000000007</v>
      </c>
      <c r="S80" s="41">
        <f>718299.69+89599.38</f>
        <v>807899.07</v>
      </c>
      <c r="T80" s="41">
        <f>766900.07+87965.17</f>
        <v>854865.24</v>
      </c>
      <c r="U80" s="16">
        <f t="shared" si="9"/>
        <v>46966.170000000042</v>
      </c>
      <c r="V80" s="45">
        <f t="shared" si="10"/>
        <v>5.8133709697177946E-2</v>
      </c>
    </row>
    <row r="81" spans="1:22" x14ac:dyDescent="0.2">
      <c r="A81" s="3">
        <v>602301</v>
      </c>
      <c r="B81" s="3" t="s">
        <v>61</v>
      </c>
      <c r="C81" s="1">
        <v>626142</v>
      </c>
      <c r="D81" s="1" t="s">
        <v>61</v>
      </c>
      <c r="E81" s="22">
        <v>125802.81000000004</v>
      </c>
      <c r="F81" s="22">
        <v>133812.43000000002</v>
      </c>
      <c r="G81" s="22">
        <v>141188.25</v>
      </c>
      <c r="H81" s="22">
        <v>151967.07999999999</v>
      </c>
      <c r="I81" s="22">
        <v>140629.02000000002</v>
      </c>
      <c r="J81" s="22">
        <v>146841.87</v>
      </c>
      <c r="K81" s="22">
        <v>150151.23000000001</v>
      </c>
      <c r="L81" s="22">
        <v>148375.53999999998</v>
      </c>
      <c r="M81" s="22">
        <v>158300.72000000006</v>
      </c>
      <c r="N81" s="42">
        <v>162227.89000000001</v>
      </c>
      <c r="O81" s="48">
        <f>173487.93+11028.68</f>
        <v>184516.61</v>
      </c>
      <c r="P81" s="48">
        <f>173551.86+10361.35</f>
        <v>183913.21</v>
      </c>
      <c r="Q81" s="49">
        <f>171510.16+10082.55</f>
        <v>181592.71</v>
      </c>
      <c r="R81" s="39">
        <f>170650.29+18647.86</f>
        <v>189298.15000000002</v>
      </c>
      <c r="S81" s="41">
        <f>178857.57+21189.83</f>
        <v>200047.40000000002</v>
      </c>
      <c r="T81" s="41">
        <f>187243.42+20634.32</f>
        <v>207877.74000000002</v>
      </c>
      <c r="U81" s="16">
        <f t="shared" si="9"/>
        <v>7830.3399999999965</v>
      </c>
      <c r="V81" s="45">
        <f t="shared" si="10"/>
        <v>3.9142423245690748E-2</v>
      </c>
    </row>
    <row r="82" spans="1:22" x14ac:dyDescent="0.2">
      <c r="A82" s="3">
        <v>602001</v>
      </c>
      <c r="B82" s="3" t="s">
        <v>62</v>
      </c>
      <c r="C82" s="1">
        <v>626171</v>
      </c>
      <c r="D82" s="1" t="s">
        <v>62</v>
      </c>
      <c r="E82" s="22">
        <v>1250222.42</v>
      </c>
      <c r="F82" s="22">
        <v>1261652.5399999998</v>
      </c>
      <c r="G82" s="22">
        <v>1213194.51</v>
      </c>
      <c r="H82" s="22">
        <v>1305525.46</v>
      </c>
      <c r="I82" s="22">
        <v>1272255.8199999998</v>
      </c>
      <c r="J82" s="22">
        <v>1431463.55</v>
      </c>
      <c r="K82" s="22">
        <v>1500201.9300000002</v>
      </c>
      <c r="L82" s="22">
        <v>1860003.51</v>
      </c>
      <c r="M82" s="22">
        <v>2919434.8499999996</v>
      </c>
      <c r="N82" s="42">
        <v>3341365.7300000018</v>
      </c>
      <c r="O82" s="48">
        <f>4069008.98+379684.5</f>
        <v>4448693.4800000004</v>
      </c>
      <c r="P82" s="48">
        <f>3975374.05+360620.63</f>
        <v>4335994.68</v>
      </c>
      <c r="Q82" s="49">
        <f>4019923.79+358003.04</f>
        <v>4377926.83</v>
      </c>
      <c r="R82" s="39">
        <f>4750994.12+821915.79</f>
        <v>5572909.9100000001</v>
      </c>
      <c r="S82" s="41">
        <f>4999549.47+916091.67</f>
        <v>5915641.1399999997</v>
      </c>
      <c r="T82" s="41">
        <f>5779358.99+921884.32</f>
        <v>6701243.3100000005</v>
      </c>
      <c r="U82" s="16">
        <f t="shared" si="9"/>
        <v>785602.17000000086</v>
      </c>
      <c r="V82" s="45">
        <f t="shared" si="10"/>
        <v>0.13280084971482919</v>
      </c>
    </row>
    <row r="83" spans="1:22" x14ac:dyDescent="0.2">
      <c r="A83" s="3">
        <v>602000</v>
      </c>
      <c r="B83" s="3" t="s">
        <v>63</v>
      </c>
      <c r="C83" s="1">
        <v>626172</v>
      </c>
      <c r="D83" s="1" t="s">
        <v>63</v>
      </c>
      <c r="E83" s="22">
        <v>329446.97000000003</v>
      </c>
      <c r="F83" s="22">
        <v>439338.0400000001</v>
      </c>
      <c r="G83" s="22">
        <v>579584.57000000018</v>
      </c>
      <c r="H83" s="22">
        <v>575271.77999999991</v>
      </c>
      <c r="I83" s="22">
        <v>632463.77000000014</v>
      </c>
      <c r="J83" s="22">
        <v>604392.66</v>
      </c>
      <c r="K83" s="22">
        <v>490867.01999999996</v>
      </c>
      <c r="L83" s="22">
        <v>542383.94000000006</v>
      </c>
      <c r="M83" s="22">
        <v>580157.76000000013</v>
      </c>
      <c r="N83" s="42">
        <v>513167.95999999996</v>
      </c>
      <c r="O83" s="48">
        <f>482959.39+11788.56</f>
        <v>494747.95</v>
      </c>
      <c r="P83" s="48">
        <f>510436.71+12883.07</f>
        <v>523319.78</v>
      </c>
      <c r="Q83" s="49">
        <f>601615.6+16050.92</f>
        <v>617666.52</v>
      </c>
      <c r="R83" s="39">
        <f>565620.51+20908.62</f>
        <v>586529.13</v>
      </c>
      <c r="S83" s="41">
        <f>554605.37+20684.69</f>
        <v>575290.05999999994</v>
      </c>
      <c r="T83" s="41">
        <f>534201.53+17722.74</f>
        <v>551924.27</v>
      </c>
      <c r="U83" s="16">
        <f t="shared" si="9"/>
        <v>-23365.789999999921</v>
      </c>
      <c r="V83" s="45">
        <f t="shared" si="10"/>
        <v>-4.0615667859792197E-2</v>
      </c>
    </row>
    <row r="84" spans="1:22" x14ac:dyDescent="0.2">
      <c r="A84" s="3">
        <v>602002</v>
      </c>
      <c r="B84" s="3" t="s">
        <v>335</v>
      </c>
      <c r="C84" s="1">
        <v>626173</v>
      </c>
      <c r="D84" s="1" t="s">
        <v>64</v>
      </c>
      <c r="E84" s="22">
        <v>23786.379999999997</v>
      </c>
      <c r="F84" s="22">
        <v>42457.54</v>
      </c>
      <c r="G84" s="22">
        <v>54788.479999999996</v>
      </c>
      <c r="H84" s="22">
        <v>51503.579999999994</v>
      </c>
      <c r="I84" s="22">
        <v>26009.46</v>
      </c>
      <c r="J84" s="22">
        <v>33413.24</v>
      </c>
      <c r="K84" s="22">
        <v>19719.88</v>
      </c>
      <c r="L84" s="22">
        <v>30780.78</v>
      </c>
      <c r="M84" s="22">
        <v>46238.89</v>
      </c>
      <c r="N84" s="42">
        <v>45661.63</v>
      </c>
      <c r="O84" s="48">
        <v>37273.589999999997</v>
      </c>
      <c r="P84" s="48">
        <v>23717.86</v>
      </c>
      <c r="Q84" s="49">
        <v>-3671.2999999999997</v>
      </c>
      <c r="R84" s="49"/>
      <c r="S84" s="41"/>
      <c r="T84" s="41"/>
      <c r="U84" s="16">
        <f t="shared" si="9"/>
        <v>0</v>
      </c>
      <c r="V84" s="45" t="e">
        <f t="shared" si="10"/>
        <v>#DIV/0!</v>
      </c>
    </row>
    <row r="85" spans="1:22" x14ac:dyDescent="0.2">
      <c r="A85" s="3">
        <v>602501</v>
      </c>
      <c r="B85" s="3" t="s">
        <v>434</v>
      </c>
      <c r="C85" s="1">
        <v>626200</v>
      </c>
      <c r="D85" s="1" t="s">
        <v>65</v>
      </c>
      <c r="E85" s="22">
        <v>-134594.81</v>
      </c>
      <c r="F85" s="22">
        <v>38203.350000000013</v>
      </c>
      <c r="G85" s="22">
        <v>40923.33</v>
      </c>
      <c r="H85" s="22">
        <v>7378.8200000000015</v>
      </c>
      <c r="I85" s="22">
        <v>-9568.1900000000023</v>
      </c>
      <c r="J85" s="22">
        <v>34713.879999999997</v>
      </c>
      <c r="K85" s="22">
        <v>87172.530000000013</v>
      </c>
      <c r="L85" s="22">
        <v>186691.77</v>
      </c>
      <c r="M85" s="22">
        <v>100268.54</v>
      </c>
      <c r="N85" s="42">
        <v>252026.48</v>
      </c>
      <c r="O85" s="48">
        <f>-87.9799999999996+(-882.13)</f>
        <v>-970.10999999999956</v>
      </c>
      <c r="P85" s="48">
        <f>79649.55+710</f>
        <v>80359.55</v>
      </c>
      <c r="Q85" s="49">
        <f>165374.82+7350.38</f>
        <v>172725.2</v>
      </c>
      <c r="R85" s="39">
        <f>26811.15+6848</f>
        <v>33659.15</v>
      </c>
      <c r="S85" s="41">
        <f>249378.45+8351.98</f>
        <v>257730.43000000002</v>
      </c>
      <c r="T85" s="41">
        <f>15474.36+15263.78</f>
        <v>30738.14</v>
      </c>
      <c r="U85" s="16">
        <f t="shared" si="9"/>
        <v>-226992.29000000004</v>
      </c>
      <c r="V85" s="45">
        <f t="shared" si="10"/>
        <v>-0.88073530936956113</v>
      </c>
    </row>
    <row r="86" spans="1:22" x14ac:dyDescent="0.2">
      <c r="A86" s="3">
        <v>602502</v>
      </c>
      <c r="B86" s="3" t="s">
        <v>66</v>
      </c>
      <c r="C86" s="1">
        <v>626210</v>
      </c>
      <c r="D86" s="1" t="s">
        <v>66</v>
      </c>
      <c r="E86" s="22"/>
      <c r="F86" s="22"/>
      <c r="G86" s="22"/>
      <c r="H86" s="22">
        <v>70833.210000000006</v>
      </c>
      <c r="I86" s="22"/>
      <c r="J86" s="22"/>
      <c r="K86" s="22"/>
      <c r="L86" s="22"/>
      <c r="M86" s="22">
        <v>22993.600000000002</v>
      </c>
      <c r="N86" s="43"/>
      <c r="O86" s="47"/>
      <c r="P86" s="47"/>
      <c r="Q86" s="47"/>
      <c r="R86" s="47"/>
      <c r="S86" s="41"/>
      <c r="T86" s="41"/>
      <c r="U86" s="16">
        <f t="shared" si="9"/>
        <v>0</v>
      </c>
      <c r="V86" s="45" t="e">
        <f t="shared" si="10"/>
        <v>#DIV/0!</v>
      </c>
    </row>
    <row r="87" spans="1:22" x14ac:dyDescent="0.2">
      <c r="A87" s="3">
        <v>602503</v>
      </c>
      <c r="B87" s="3" t="s">
        <v>67</v>
      </c>
      <c r="C87" s="1">
        <v>626300</v>
      </c>
      <c r="D87" s="1" t="s">
        <v>67</v>
      </c>
      <c r="E87" s="22">
        <v>9201.6999999999989</v>
      </c>
      <c r="F87" s="22">
        <v>-2850.88</v>
      </c>
      <c r="G87" s="22">
        <v>-1124.5400000000002</v>
      </c>
      <c r="H87" s="22">
        <v>-1972.25</v>
      </c>
      <c r="I87" s="22">
        <v>3559.3500000000008</v>
      </c>
      <c r="J87" s="22">
        <v>-1960.14</v>
      </c>
      <c r="K87" s="22">
        <v>1092.77</v>
      </c>
      <c r="L87" s="22">
        <v>-565.5300000000002</v>
      </c>
      <c r="M87" s="22">
        <v>1074.99</v>
      </c>
      <c r="N87" s="42">
        <v>786.43</v>
      </c>
      <c r="O87" s="48">
        <f>1925.5+197.96</f>
        <v>2123.46</v>
      </c>
      <c r="P87" s="48">
        <f>-1542.01+3135.32</f>
        <v>1593.3100000000002</v>
      </c>
      <c r="Q87" s="49">
        <f>11721.9+2775.83</f>
        <v>14497.73</v>
      </c>
      <c r="R87" s="39">
        <f>5612.98+(-4009.14)</f>
        <v>1603.8399999999997</v>
      </c>
      <c r="S87" s="41">
        <f>10894.17+1086</f>
        <v>11980.17</v>
      </c>
      <c r="T87" s="41">
        <f>(-4440.97)+2083.24</f>
        <v>-2357.7300000000005</v>
      </c>
      <c r="U87" s="16">
        <f t="shared" si="9"/>
        <v>-14337.900000000001</v>
      </c>
      <c r="V87" s="45">
        <f t="shared" si="10"/>
        <v>-1.1968027164889983</v>
      </c>
    </row>
    <row r="88" spans="1:22" x14ac:dyDescent="0.2">
      <c r="C88" s="3" t="s">
        <v>234</v>
      </c>
      <c r="D88" s="3" t="s">
        <v>235</v>
      </c>
      <c r="E88" s="22"/>
      <c r="F88" s="22"/>
      <c r="G88" s="22"/>
      <c r="H88" s="22"/>
      <c r="I88" s="22"/>
      <c r="J88" s="22"/>
      <c r="K88" s="22"/>
      <c r="L88" s="22"/>
      <c r="M88" s="22">
        <v>775.2</v>
      </c>
      <c r="N88" s="22">
        <v>2361.85</v>
      </c>
      <c r="O88" s="22">
        <v>153.49</v>
      </c>
      <c r="P88" s="22">
        <f>1015.8</f>
        <v>1015.8</v>
      </c>
      <c r="Q88" s="22"/>
      <c r="R88" s="22"/>
      <c r="S88" s="22"/>
      <c r="T88" s="22"/>
      <c r="U88" s="16">
        <f t="shared" si="9"/>
        <v>0</v>
      </c>
      <c r="V88" s="45" t="e">
        <f t="shared" si="10"/>
        <v>#DIV/0!</v>
      </c>
    </row>
    <row r="89" spans="1:22" x14ac:dyDescent="0.2">
      <c r="C89" s="1"/>
      <c r="D89" s="5" t="s">
        <v>231</v>
      </c>
      <c r="E89" s="6">
        <f>SUM(E75:E88)</f>
        <v>3205533.8200000003</v>
      </c>
      <c r="F89" s="6">
        <f t="shared" ref="F89:T89" si="11">SUM(F75:F88)</f>
        <v>3736111.4299999997</v>
      </c>
      <c r="G89" s="6">
        <f t="shared" si="11"/>
        <v>4093492.9400000009</v>
      </c>
      <c r="H89" s="6">
        <f t="shared" si="11"/>
        <v>4361073.24</v>
      </c>
      <c r="I89" s="6">
        <f t="shared" si="11"/>
        <v>4300810.3999999994</v>
      </c>
      <c r="J89" s="6">
        <f t="shared" si="11"/>
        <v>4597668.4700000007</v>
      </c>
      <c r="K89" s="6">
        <f t="shared" si="11"/>
        <v>4727149.68</v>
      </c>
      <c r="L89" s="6">
        <f t="shared" si="11"/>
        <v>5260096.5199999996</v>
      </c>
      <c r="M89" s="6">
        <f t="shared" si="11"/>
        <v>6571470.1999999983</v>
      </c>
      <c r="N89" s="6">
        <f t="shared" si="11"/>
        <v>7248187.6100000022</v>
      </c>
      <c r="O89" s="6">
        <f t="shared" si="11"/>
        <v>8458788.9000000004</v>
      </c>
      <c r="P89" s="6">
        <f t="shared" si="11"/>
        <v>8488730.1700000018</v>
      </c>
      <c r="Q89" s="6">
        <f t="shared" si="11"/>
        <v>8585276.0499999989</v>
      </c>
      <c r="R89" s="6">
        <f t="shared" si="11"/>
        <v>9906018.3900000006</v>
      </c>
      <c r="S89" s="6">
        <f t="shared" si="11"/>
        <v>10770560.07</v>
      </c>
      <c r="T89" s="6">
        <f t="shared" si="11"/>
        <v>11343829.710000001</v>
      </c>
      <c r="U89" s="17">
        <f>SUM(U75:U88)</f>
        <v>573269.64000000071</v>
      </c>
      <c r="V89" s="45">
        <f t="shared" si="10"/>
        <v>5.3225610950053473E-2</v>
      </c>
    </row>
    <row r="90" spans="1:22" x14ac:dyDescent="0.2">
      <c r="C90" s="1"/>
      <c r="D90" s="1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8"/>
      <c r="V90" s="45"/>
    </row>
    <row r="91" spans="1:22" x14ac:dyDescent="0.2">
      <c r="C91" s="1"/>
      <c r="D91" s="5" t="s">
        <v>232</v>
      </c>
      <c r="E91" s="7">
        <f>E26+E74+E89</f>
        <v>13326964.390000001</v>
      </c>
      <c r="F91" s="7">
        <f>F26+F74+F89</f>
        <v>14504336.569999998</v>
      </c>
      <c r="G91" s="7">
        <f t="shared" ref="G91:U91" si="12">G26+G74+G89</f>
        <v>15571568.529999999</v>
      </c>
      <c r="H91" s="7">
        <f t="shared" si="12"/>
        <v>16635255.170000004</v>
      </c>
      <c r="I91" s="7">
        <f t="shared" si="12"/>
        <v>15829284.93</v>
      </c>
      <c r="J91" s="7">
        <f t="shared" si="12"/>
        <v>16578966.689999999</v>
      </c>
      <c r="K91" s="7">
        <f t="shared" si="12"/>
        <v>16797577.620000001</v>
      </c>
      <c r="L91" s="7">
        <f t="shared" si="12"/>
        <v>17239471.199999996</v>
      </c>
      <c r="M91" s="7">
        <f t="shared" si="12"/>
        <v>19205409.759999998</v>
      </c>
      <c r="N91" s="7">
        <f t="shared" si="12"/>
        <v>21001923.700000003</v>
      </c>
      <c r="O91" s="7">
        <f t="shared" si="12"/>
        <v>23260967.600000001</v>
      </c>
      <c r="P91" s="7">
        <f t="shared" si="12"/>
        <v>23178035.740000002</v>
      </c>
      <c r="Q91" s="7">
        <f t="shared" si="12"/>
        <v>22757729.769999996</v>
      </c>
      <c r="R91" s="7">
        <f t="shared" si="12"/>
        <v>24817171.030000001</v>
      </c>
      <c r="S91" s="7">
        <f t="shared" si="12"/>
        <v>27168288.66</v>
      </c>
      <c r="T91" s="7">
        <f t="shared" si="12"/>
        <v>27243602.259999998</v>
      </c>
      <c r="U91" s="19">
        <f t="shared" si="12"/>
        <v>75313.599999999395</v>
      </c>
      <c r="V91" s="45">
        <f t="shared" si="10"/>
        <v>2.7721142447549138E-3</v>
      </c>
    </row>
    <row r="92" spans="1:22" x14ac:dyDescent="0.2">
      <c r="A92" s="3">
        <v>703000</v>
      </c>
      <c r="B92" s="3" t="s">
        <v>353</v>
      </c>
      <c r="C92" s="1">
        <v>711100</v>
      </c>
      <c r="D92" s="1" t="s">
        <v>68</v>
      </c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6">
        <f t="shared" ref="U92:U155" si="13">T92-S92</f>
        <v>0</v>
      </c>
      <c r="V92" s="45" t="e">
        <f t="shared" ref="V92:V155" si="14">U92/S92</f>
        <v>#DIV/0!</v>
      </c>
    </row>
    <row r="93" spans="1:22" x14ac:dyDescent="0.2">
      <c r="A93" s="3">
        <v>704500</v>
      </c>
      <c r="B93" s="3" t="s">
        <v>354</v>
      </c>
      <c r="C93" s="1">
        <v>711405</v>
      </c>
      <c r="D93" s="58" t="s">
        <v>182</v>
      </c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41">
        <f>1500-1500</f>
        <v>0</v>
      </c>
      <c r="T93" s="41"/>
      <c r="U93" s="16">
        <f t="shared" si="13"/>
        <v>0</v>
      </c>
      <c r="V93" s="45" t="e">
        <f t="shared" si="14"/>
        <v>#DIV/0!</v>
      </c>
    </row>
    <row r="94" spans="1:22" x14ac:dyDescent="0.2">
      <c r="A94" s="3">
        <v>704600</v>
      </c>
      <c r="B94" s="3" t="s">
        <v>355</v>
      </c>
      <c r="C94" s="1">
        <v>711500</v>
      </c>
      <c r="D94" s="1" t="s">
        <v>69</v>
      </c>
      <c r="E94" s="22"/>
      <c r="F94" s="22"/>
      <c r="G94" s="22"/>
      <c r="H94" s="22"/>
      <c r="I94" s="22"/>
      <c r="J94" s="22">
        <v>1300</v>
      </c>
      <c r="K94" s="22"/>
      <c r="L94" s="22"/>
      <c r="M94" s="22"/>
      <c r="N94" s="22"/>
      <c r="O94" s="22"/>
      <c r="P94" s="22"/>
      <c r="Q94" s="22"/>
      <c r="R94" s="22"/>
      <c r="S94" s="22"/>
      <c r="T94" s="22"/>
      <c r="U94" s="16">
        <f t="shared" si="13"/>
        <v>0</v>
      </c>
      <c r="V94" s="45" t="e">
        <f t="shared" si="14"/>
        <v>#DIV/0!</v>
      </c>
    </row>
    <row r="95" spans="1:22" x14ac:dyDescent="0.2">
      <c r="A95" s="3">
        <v>702000</v>
      </c>
      <c r="B95" s="3" t="s">
        <v>266</v>
      </c>
      <c r="C95" s="57">
        <v>712100</v>
      </c>
      <c r="D95" s="57" t="s">
        <v>266</v>
      </c>
      <c r="E95" s="22"/>
      <c r="F95" s="22"/>
      <c r="G95" s="22"/>
      <c r="H95" s="22"/>
      <c r="I95" s="22"/>
      <c r="J95" s="22">
        <v>-45</v>
      </c>
      <c r="K95" s="22"/>
      <c r="L95" s="22"/>
      <c r="M95" s="22"/>
      <c r="N95" s="22"/>
      <c r="O95" s="22"/>
      <c r="P95" s="22">
        <v>1488.3500000000001</v>
      </c>
      <c r="Q95" s="22"/>
      <c r="R95" s="22"/>
      <c r="S95" s="22"/>
      <c r="T95" s="22"/>
      <c r="U95" s="16">
        <f t="shared" si="13"/>
        <v>0</v>
      </c>
      <c r="V95" s="45" t="e">
        <f t="shared" si="14"/>
        <v>#DIV/0!</v>
      </c>
    </row>
    <row r="96" spans="1:22" x14ac:dyDescent="0.2">
      <c r="A96" s="3">
        <v>702106</v>
      </c>
      <c r="B96" s="3" t="s">
        <v>351</v>
      </c>
      <c r="C96" s="1">
        <v>713100</v>
      </c>
      <c r="D96" s="1" t="s">
        <v>70</v>
      </c>
      <c r="E96" s="22">
        <v>262053.55999999994</v>
      </c>
      <c r="F96" s="22">
        <v>259382.48</v>
      </c>
      <c r="G96" s="22">
        <v>295370.76</v>
      </c>
      <c r="H96" s="22">
        <v>309069.52</v>
      </c>
      <c r="I96" s="22">
        <v>294497.59000000003</v>
      </c>
      <c r="J96" s="22">
        <v>320270.24</v>
      </c>
      <c r="K96" s="22">
        <v>329155.59000000003</v>
      </c>
      <c r="L96" s="22">
        <v>371961.21000000008</v>
      </c>
      <c r="M96" s="22">
        <v>400599.02</v>
      </c>
      <c r="N96" s="42">
        <v>365592.93</v>
      </c>
      <c r="O96" s="42">
        <v>349634.87999999995</v>
      </c>
      <c r="P96" s="42">
        <v>411010.05</v>
      </c>
      <c r="Q96" s="49">
        <v>522667.07999999996</v>
      </c>
      <c r="R96" s="39">
        <v>679446.99999999988</v>
      </c>
      <c r="S96" s="41">
        <v>492387.68000000005</v>
      </c>
      <c r="T96" s="41">
        <v>40977.119999999995</v>
      </c>
      <c r="U96" s="16">
        <f t="shared" si="13"/>
        <v>-451410.56000000006</v>
      </c>
      <c r="V96" s="45">
        <f t="shared" si="14"/>
        <v>-0.91677874637318302</v>
      </c>
    </row>
    <row r="97" spans="1:22" x14ac:dyDescent="0.2">
      <c r="A97" s="3">
        <v>702106</v>
      </c>
      <c r="B97" s="3" t="s">
        <v>351</v>
      </c>
      <c r="C97" s="1">
        <v>713101</v>
      </c>
      <c r="D97" s="1" t="s">
        <v>71</v>
      </c>
      <c r="E97" s="22">
        <v>425</v>
      </c>
      <c r="F97" s="22"/>
      <c r="G97" s="22"/>
      <c r="H97" s="22"/>
      <c r="I97" s="22">
        <v>1125</v>
      </c>
      <c r="J97" s="22"/>
      <c r="K97" s="22"/>
      <c r="L97" s="22"/>
      <c r="M97" s="22"/>
      <c r="N97" s="43"/>
      <c r="O97" s="22"/>
      <c r="P97" s="22"/>
      <c r="Q97" s="22"/>
      <c r="R97" s="22"/>
      <c r="S97" s="22"/>
      <c r="T97" s="22"/>
      <c r="U97" s="16">
        <f t="shared" si="13"/>
        <v>0</v>
      </c>
      <c r="V97" s="45" t="e">
        <f t="shared" si="14"/>
        <v>#DIV/0!</v>
      </c>
    </row>
    <row r="98" spans="1:22" x14ac:dyDescent="0.2">
      <c r="A98" s="3">
        <v>702107</v>
      </c>
      <c r="B98" s="3" t="s">
        <v>183</v>
      </c>
      <c r="C98" s="57">
        <v>713105</v>
      </c>
      <c r="D98" s="57" t="s">
        <v>183</v>
      </c>
      <c r="E98" s="22"/>
      <c r="F98" s="22"/>
      <c r="G98" s="22">
        <v>750</v>
      </c>
      <c r="H98" s="22"/>
      <c r="I98" s="22"/>
      <c r="J98" s="22"/>
      <c r="K98" s="22"/>
      <c r="L98" s="22">
        <v>1131</v>
      </c>
      <c r="M98" s="22"/>
      <c r="N98" s="43"/>
      <c r="O98" s="22"/>
      <c r="P98" s="22"/>
      <c r="Q98" s="22"/>
      <c r="R98" s="22"/>
      <c r="S98" s="22"/>
      <c r="T98" s="22"/>
      <c r="U98" s="16">
        <f t="shared" si="13"/>
        <v>0</v>
      </c>
      <c r="V98" s="45" t="e">
        <f t="shared" si="14"/>
        <v>#DIV/0!</v>
      </c>
    </row>
    <row r="99" spans="1:22" x14ac:dyDescent="0.2">
      <c r="A99">
        <v>702108</v>
      </c>
      <c r="B99" t="s">
        <v>184</v>
      </c>
      <c r="C99" s="37">
        <v>713110</v>
      </c>
      <c r="D99" t="s">
        <v>184</v>
      </c>
      <c r="E99" s="22"/>
      <c r="F99" s="22"/>
      <c r="G99" s="22"/>
      <c r="H99" s="22"/>
      <c r="I99" s="22"/>
      <c r="J99" s="22"/>
      <c r="K99" s="22"/>
      <c r="L99" s="22"/>
      <c r="M99" s="22"/>
      <c r="N99" s="43"/>
      <c r="O99" s="22"/>
      <c r="P99" s="22"/>
      <c r="Q99" s="22"/>
      <c r="R99" s="36">
        <v>547</v>
      </c>
      <c r="S99" s="36"/>
      <c r="T99" s="36"/>
      <c r="U99" s="16">
        <f t="shared" si="13"/>
        <v>0</v>
      </c>
      <c r="V99" s="45" t="e">
        <f t="shared" si="14"/>
        <v>#DIV/0!</v>
      </c>
    </row>
    <row r="100" spans="1:22" x14ac:dyDescent="0.2">
      <c r="A100" s="3">
        <v>702109</v>
      </c>
      <c r="B100" s="3" t="s">
        <v>72</v>
      </c>
      <c r="C100" s="1">
        <v>713115</v>
      </c>
      <c r="D100" s="1" t="s">
        <v>72</v>
      </c>
      <c r="R100" s="36">
        <v>5108.21</v>
      </c>
      <c r="S100" s="36"/>
      <c r="T100" s="36"/>
      <c r="U100" s="16">
        <f t="shared" si="13"/>
        <v>0</v>
      </c>
      <c r="V100" s="45" t="e">
        <f t="shared" si="14"/>
        <v>#DIV/0!</v>
      </c>
    </row>
    <row r="101" spans="1:22" x14ac:dyDescent="0.2">
      <c r="A101" s="3">
        <v>702110</v>
      </c>
      <c r="B101" s="3" t="s">
        <v>185</v>
      </c>
      <c r="C101" s="57">
        <v>713120</v>
      </c>
      <c r="D101" s="57" t="s">
        <v>185</v>
      </c>
      <c r="E101" s="22">
        <v>7775.3600000000006</v>
      </c>
      <c r="F101" s="22">
        <v>10862.14</v>
      </c>
      <c r="G101" s="22"/>
      <c r="H101" s="22">
        <v>11000</v>
      </c>
      <c r="I101" s="22">
        <v>6942</v>
      </c>
      <c r="J101" s="22">
        <v>9026</v>
      </c>
      <c r="K101" s="22">
        <v>17748</v>
      </c>
      <c r="L101" s="22">
        <v>12380.220000000001</v>
      </c>
      <c r="M101" s="22">
        <v>1159.55</v>
      </c>
      <c r="N101" s="42">
        <v>12848.66</v>
      </c>
      <c r="O101" s="22"/>
      <c r="P101" s="22"/>
      <c r="Q101" s="22"/>
      <c r="R101" s="22"/>
      <c r="S101" s="22"/>
      <c r="T101" s="41">
        <v>5202.3</v>
      </c>
      <c r="U101" s="16">
        <f t="shared" si="13"/>
        <v>5202.3</v>
      </c>
      <c r="V101" s="45" t="e">
        <f t="shared" si="14"/>
        <v>#DIV/0!</v>
      </c>
    </row>
    <row r="102" spans="1:22" x14ac:dyDescent="0.2">
      <c r="A102" s="3">
        <v>702111</v>
      </c>
      <c r="B102" s="3" t="s">
        <v>352</v>
      </c>
      <c r="C102" s="1">
        <v>713125</v>
      </c>
      <c r="D102" s="1" t="s">
        <v>73</v>
      </c>
      <c r="E102" s="22">
        <v>7599.06</v>
      </c>
      <c r="F102" s="22">
        <v>11083.19</v>
      </c>
      <c r="G102" s="22">
        <v>3003.4000000000005</v>
      </c>
      <c r="H102" s="22">
        <v>3478.1800000000003</v>
      </c>
      <c r="I102" s="22">
        <v>1364.63</v>
      </c>
      <c r="J102" s="22">
        <v>1706.3000000000002</v>
      </c>
      <c r="K102" s="22">
        <v>2045.12</v>
      </c>
      <c r="L102" s="22">
        <v>1709.5400000000002</v>
      </c>
      <c r="M102" s="22">
        <v>1561.58</v>
      </c>
      <c r="N102" s="42">
        <v>733.15</v>
      </c>
      <c r="O102" s="22"/>
      <c r="P102" s="22"/>
      <c r="Q102" s="49">
        <v>948.30000000000007</v>
      </c>
      <c r="R102" s="39">
        <v>510.58</v>
      </c>
      <c r="S102" s="39"/>
      <c r="T102" s="41">
        <v>508.96000000000004</v>
      </c>
      <c r="U102" s="16">
        <f t="shared" si="13"/>
        <v>508.96000000000004</v>
      </c>
      <c r="V102" s="45" t="e">
        <f t="shared" si="14"/>
        <v>#DIV/0!</v>
      </c>
    </row>
    <row r="103" spans="1:22" x14ac:dyDescent="0.2">
      <c r="A103" s="3">
        <v>702104</v>
      </c>
      <c r="B103" s="3" t="s">
        <v>436</v>
      </c>
      <c r="C103" s="1">
        <v>713130</v>
      </c>
      <c r="D103" s="1" t="s">
        <v>186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42"/>
      <c r="O103" s="22"/>
      <c r="P103" s="22"/>
      <c r="Q103" s="49">
        <v>146.25</v>
      </c>
      <c r="R103" s="49"/>
      <c r="S103" s="49"/>
      <c r="T103" s="49"/>
      <c r="U103" s="16">
        <f t="shared" si="13"/>
        <v>0</v>
      </c>
      <c r="V103" s="45" t="e">
        <f t="shared" si="14"/>
        <v>#DIV/0!</v>
      </c>
    </row>
    <row r="104" spans="1:22" x14ac:dyDescent="0.2">
      <c r="A104" s="3">
        <v>702200</v>
      </c>
      <c r="B104" s="3" t="s">
        <v>74</v>
      </c>
      <c r="C104" s="1">
        <v>713135</v>
      </c>
      <c r="D104" s="1" t="s">
        <v>74</v>
      </c>
      <c r="E104" s="22">
        <v>189854.55000000005</v>
      </c>
      <c r="F104" s="22">
        <v>268819.36</v>
      </c>
      <c r="G104" s="22">
        <v>231933.24000000005</v>
      </c>
      <c r="H104" s="22">
        <v>222637.05000000002</v>
      </c>
      <c r="I104" s="22">
        <v>277872.16000000003</v>
      </c>
      <c r="J104" s="22">
        <v>263629.74</v>
      </c>
      <c r="K104" s="22">
        <v>400037.53999999992</v>
      </c>
      <c r="L104" s="22">
        <v>282084.59999999998</v>
      </c>
      <c r="M104" s="22">
        <v>213829.36000000002</v>
      </c>
      <c r="N104" s="42">
        <v>165458.76999999996</v>
      </c>
      <c r="O104" s="42">
        <v>301606.76000000007</v>
      </c>
      <c r="P104" s="42">
        <v>286759.39</v>
      </c>
      <c r="Q104" s="49">
        <v>254344.90000000002</v>
      </c>
      <c r="R104" s="39">
        <v>92844.170000000013</v>
      </c>
      <c r="S104" s="41">
        <v>97508.74</v>
      </c>
      <c r="T104" s="41">
        <v>82600.709999999992</v>
      </c>
      <c r="U104" s="16">
        <f t="shared" si="13"/>
        <v>-14908.030000000013</v>
      </c>
      <c r="V104" s="45">
        <f t="shared" si="14"/>
        <v>-0.15288916665316374</v>
      </c>
    </row>
    <row r="105" spans="1:22" x14ac:dyDescent="0.2">
      <c r="A105" s="72">
        <v>702101</v>
      </c>
      <c r="B105" s="72" t="s">
        <v>477</v>
      </c>
      <c r="C105" s="1"/>
      <c r="D105" s="1"/>
      <c r="E105" s="22"/>
      <c r="F105" s="22"/>
      <c r="G105" s="22"/>
      <c r="H105" s="22"/>
      <c r="I105" s="22"/>
      <c r="J105" s="22"/>
      <c r="K105" s="22"/>
      <c r="L105" s="22"/>
      <c r="M105" s="22"/>
      <c r="N105" s="42"/>
      <c r="O105" s="42"/>
      <c r="P105" s="42"/>
      <c r="Q105" s="49"/>
      <c r="R105" s="39"/>
      <c r="S105" s="41"/>
      <c r="T105" s="41">
        <v>750</v>
      </c>
      <c r="U105" s="16">
        <f t="shared" si="13"/>
        <v>750</v>
      </c>
      <c r="V105" s="45" t="e">
        <f t="shared" si="14"/>
        <v>#DIV/0!</v>
      </c>
    </row>
    <row r="106" spans="1:22" x14ac:dyDescent="0.2">
      <c r="A106" s="3">
        <v>702103</v>
      </c>
      <c r="B106" s="3" t="s">
        <v>349</v>
      </c>
      <c r="C106" s="1">
        <v>713140</v>
      </c>
      <c r="D106" s="1" t="s">
        <v>75</v>
      </c>
      <c r="E106" s="22">
        <v>3272.42</v>
      </c>
      <c r="F106" s="22">
        <v>6973.57</v>
      </c>
      <c r="G106" s="22">
        <v>12124</v>
      </c>
      <c r="H106" s="22"/>
      <c r="I106" s="22">
        <v>16229.85</v>
      </c>
      <c r="J106" s="22"/>
      <c r="K106" s="22"/>
      <c r="L106" s="22"/>
      <c r="M106" s="22">
        <v>2724.35</v>
      </c>
      <c r="N106" s="43"/>
      <c r="O106" s="22"/>
      <c r="P106" s="22"/>
      <c r="R106" s="39">
        <v>14233.33</v>
      </c>
      <c r="S106" s="41">
        <v>17622.730000000003</v>
      </c>
      <c r="T106" s="41">
        <v>17325.09</v>
      </c>
      <c r="U106" s="16">
        <f t="shared" si="13"/>
        <v>-297.64000000000306</v>
      </c>
      <c r="V106" s="45">
        <f t="shared" si="14"/>
        <v>-1.688955116488779E-2</v>
      </c>
    </row>
    <row r="107" spans="1:22" x14ac:dyDescent="0.2">
      <c r="A107" s="3">
        <v>705700</v>
      </c>
      <c r="B107" s="3" t="s">
        <v>437</v>
      </c>
      <c r="C107" s="1">
        <v>713145</v>
      </c>
      <c r="D107" s="1" t="s">
        <v>76</v>
      </c>
      <c r="N107" s="43"/>
      <c r="U107" s="16">
        <f t="shared" si="13"/>
        <v>0</v>
      </c>
      <c r="V107" s="45" t="e">
        <f t="shared" si="14"/>
        <v>#DIV/0!</v>
      </c>
    </row>
    <row r="108" spans="1:22" x14ac:dyDescent="0.2">
      <c r="A108">
        <v>702112</v>
      </c>
      <c r="B108" t="s">
        <v>438</v>
      </c>
      <c r="C108" s="37">
        <v>713150</v>
      </c>
      <c r="D108" s="1"/>
      <c r="N108" s="43"/>
      <c r="R108" s="39">
        <v>16031.800000000001</v>
      </c>
      <c r="S108" s="41">
        <v>62075.199999999997</v>
      </c>
      <c r="T108" s="41">
        <v>53824.83</v>
      </c>
      <c r="U108" s="16">
        <f t="shared" si="13"/>
        <v>-8250.3699999999953</v>
      </c>
      <c r="V108" s="45">
        <f t="shared" si="14"/>
        <v>-0.13290927777920966</v>
      </c>
    </row>
    <row r="109" spans="1:22" x14ac:dyDescent="0.2">
      <c r="A109" s="3">
        <v>701000</v>
      </c>
      <c r="B109" s="3" t="s">
        <v>77</v>
      </c>
      <c r="C109" s="1">
        <v>721100</v>
      </c>
      <c r="D109" s="1" t="s">
        <v>77</v>
      </c>
      <c r="E109" s="22"/>
      <c r="F109" s="22">
        <v>479</v>
      </c>
      <c r="G109" s="22">
        <v>2090.2600000000002</v>
      </c>
      <c r="H109" s="22">
        <v>3254.0200000000004</v>
      </c>
      <c r="I109" s="22">
        <v>150</v>
      </c>
      <c r="J109" s="22"/>
      <c r="K109" s="22">
        <v>235</v>
      </c>
      <c r="L109" s="22"/>
      <c r="M109" s="22"/>
      <c r="N109" s="43"/>
      <c r="O109" s="42">
        <v>118.75</v>
      </c>
      <c r="P109" s="42"/>
      <c r="Q109" s="42"/>
      <c r="R109" s="42"/>
      <c r="S109" s="41">
        <v>199</v>
      </c>
      <c r="T109" s="41"/>
      <c r="U109" s="16">
        <f t="shared" si="13"/>
        <v>-199</v>
      </c>
      <c r="V109" s="45">
        <f t="shared" si="14"/>
        <v>-1</v>
      </c>
    </row>
    <row r="110" spans="1:22" x14ac:dyDescent="0.2">
      <c r="A110" s="3">
        <v>701001</v>
      </c>
      <c r="B110" s="3" t="s">
        <v>78</v>
      </c>
      <c r="C110" s="1">
        <v>721105</v>
      </c>
      <c r="D110" s="1" t="s">
        <v>78</v>
      </c>
      <c r="E110" s="22">
        <v>39180.550000000003</v>
      </c>
      <c r="F110" s="22">
        <v>26393.63</v>
      </c>
      <c r="G110" s="22">
        <v>53724.31</v>
      </c>
      <c r="H110" s="22">
        <v>18590.43</v>
      </c>
      <c r="I110" s="22">
        <v>28708.769999999997</v>
      </c>
      <c r="J110" s="22">
        <v>41552.25</v>
      </c>
      <c r="K110" s="22">
        <v>35227.01</v>
      </c>
      <c r="L110" s="22">
        <v>34719.679999999993</v>
      </c>
      <c r="M110" s="22">
        <v>51486.04</v>
      </c>
      <c r="N110" s="43">
        <v>53680.01</v>
      </c>
      <c r="O110" s="42">
        <v>37973.17</v>
      </c>
      <c r="P110" s="42">
        <v>26001.120000000003</v>
      </c>
      <c r="Q110" s="49">
        <v>47422.560000000005</v>
      </c>
      <c r="R110" s="39">
        <v>63212.960000000014</v>
      </c>
      <c r="S110" s="41">
        <v>94122.96</v>
      </c>
      <c r="T110" s="41">
        <v>93620.77</v>
      </c>
      <c r="U110" s="16">
        <f t="shared" si="13"/>
        <v>-502.19000000000233</v>
      </c>
      <c r="V110" s="45">
        <f t="shared" si="14"/>
        <v>-5.3354675628561011E-3</v>
      </c>
    </row>
    <row r="111" spans="1:22" x14ac:dyDescent="0.2">
      <c r="A111" s="3">
        <v>701200</v>
      </c>
      <c r="B111" s="3" t="s">
        <v>338</v>
      </c>
      <c r="C111" s="1">
        <v>721110</v>
      </c>
      <c r="D111" s="1" t="s">
        <v>79</v>
      </c>
      <c r="E111" s="22"/>
      <c r="F111" s="22">
        <v>20</v>
      </c>
      <c r="G111" s="22"/>
      <c r="H111" s="22"/>
      <c r="I111" s="22"/>
      <c r="J111" s="22"/>
      <c r="K111" s="22"/>
      <c r="L111" s="22"/>
      <c r="M111" s="22"/>
      <c r="N111" s="43"/>
      <c r="O111" s="22"/>
      <c r="P111" s="22"/>
      <c r="Q111" s="22"/>
      <c r="R111" s="22"/>
      <c r="S111" s="22"/>
      <c r="T111" s="22"/>
      <c r="U111" s="16">
        <f t="shared" si="13"/>
        <v>0</v>
      </c>
      <c r="V111" s="45" t="e">
        <f t="shared" si="14"/>
        <v>#DIV/0!</v>
      </c>
    </row>
    <row r="112" spans="1:22" x14ac:dyDescent="0.2">
      <c r="A112" s="3">
        <v>701202</v>
      </c>
      <c r="B112" s="3" t="s">
        <v>80</v>
      </c>
      <c r="C112" s="1">
        <v>721115</v>
      </c>
      <c r="D112" s="1" t="s">
        <v>80</v>
      </c>
      <c r="E112" s="22">
        <v>2442</v>
      </c>
      <c r="F112" s="22">
        <v>423</v>
      </c>
      <c r="G112" s="22">
        <v>2846.65</v>
      </c>
      <c r="H112" s="22">
        <v>1175</v>
      </c>
      <c r="I112" s="22">
        <v>-750</v>
      </c>
      <c r="J112" s="22">
        <v>3230</v>
      </c>
      <c r="K112" s="22">
        <v>13100</v>
      </c>
      <c r="L112" s="22">
        <v>11375.06</v>
      </c>
      <c r="M112" s="22">
        <v>2602</v>
      </c>
      <c r="N112" s="43">
        <v>3390.48</v>
      </c>
      <c r="O112" s="42">
        <v>4770</v>
      </c>
      <c r="P112" s="42">
        <v>645</v>
      </c>
      <c r="Q112" s="42"/>
      <c r="R112" s="39">
        <v>1392.75</v>
      </c>
      <c r="S112" s="41">
        <v>4155</v>
      </c>
      <c r="T112" s="41">
        <v>275</v>
      </c>
      <c r="U112" s="16">
        <f t="shared" si="13"/>
        <v>-3880</v>
      </c>
      <c r="V112" s="45">
        <f t="shared" si="14"/>
        <v>-0.93381468110709986</v>
      </c>
    </row>
    <row r="113" spans="1:22" x14ac:dyDescent="0.2">
      <c r="A113" s="3">
        <v>701404</v>
      </c>
      <c r="B113" s="3" t="s">
        <v>343</v>
      </c>
      <c r="C113" s="1">
        <v>721120</v>
      </c>
      <c r="D113" s="1" t="s">
        <v>81</v>
      </c>
      <c r="E113" s="22">
        <v>8775</v>
      </c>
      <c r="F113" s="22">
        <v>13020</v>
      </c>
      <c r="G113" s="22">
        <v>16250</v>
      </c>
      <c r="H113" s="22">
        <v>19854</v>
      </c>
      <c r="I113" s="22">
        <v>11497.4</v>
      </c>
      <c r="J113" s="22">
        <v>16750</v>
      </c>
      <c r="K113" s="22">
        <v>7066.93</v>
      </c>
      <c r="L113" s="22">
        <v>17000</v>
      </c>
      <c r="M113" s="22">
        <v>10000</v>
      </c>
      <c r="N113" s="43">
        <v>11192.58</v>
      </c>
      <c r="O113" s="42">
        <v>14390.5</v>
      </c>
      <c r="P113" s="42">
        <v>12814</v>
      </c>
      <c r="Q113" s="49">
        <v>1710</v>
      </c>
      <c r="R113" s="39">
        <v>6289.2000000000007</v>
      </c>
      <c r="S113" s="41">
        <v>2950</v>
      </c>
      <c r="T113" s="41">
        <v>7500</v>
      </c>
      <c r="U113" s="16">
        <f t="shared" si="13"/>
        <v>4550</v>
      </c>
      <c r="V113" s="45">
        <f t="shared" si="14"/>
        <v>1.5423728813559323</v>
      </c>
    </row>
    <row r="114" spans="1:22" x14ac:dyDescent="0.2">
      <c r="A114" s="3">
        <v>701100</v>
      </c>
      <c r="B114" s="3" t="s">
        <v>337</v>
      </c>
      <c r="C114" s="1">
        <v>721125</v>
      </c>
      <c r="D114" s="1" t="s">
        <v>82</v>
      </c>
      <c r="E114" s="22">
        <v>40218.32</v>
      </c>
      <c r="F114" s="22">
        <v>27438.629999999997</v>
      </c>
      <c r="G114" s="22">
        <v>28258.799999999999</v>
      </c>
      <c r="H114" s="22">
        <v>27935.54</v>
      </c>
      <c r="I114" s="22">
        <v>28730.3</v>
      </c>
      <c r="J114" s="22">
        <v>28091.24</v>
      </c>
      <c r="K114" s="22">
        <v>28581.190000000002</v>
      </c>
      <c r="L114" s="22">
        <v>13400.440000000002</v>
      </c>
      <c r="M114" s="22">
        <v>11867.4</v>
      </c>
      <c r="N114" s="43">
        <v>11462.92</v>
      </c>
      <c r="O114" s="42">
        <v>11731.35</v>
      </c>
      <c r="P114" s="42">
        <v>10215.84</v>
      </c>
      <c r="Q114" s="49">
        <v>66840.7</v>
      </c>
      <c r="R114" s="39">
        <v>19172.04</v>
      </c>
      <c r="S114" s="41">
        <v>15797.660000000002</v>
      </c>
      <c r="T114" s="41">
        <v>10680.52</v>
      </c>
      <c r="U114" s="16">
        <f t="shared" si="13"/>
        <v>-5117.1400000000012</v>
      </c>
      <c r="V114" s="45">
        <f t="shared" si="14"/>
        <v>-0.32391759285868926</v>
      </c>
    </row>
    <row r="115" spans="1:22" x14ac:dyDescent="0.2">
      <c r="A115">
        <v>701105</v>
      </c>
      <c r="B115" t="s">
        <v>467</v>
      </c>
      <c r="C115" s="1"/>
      <c r="D115" s="1"/>
      <c r="E115" s="22"/>
      <c r="F115" s="22"/>
      <c r="G115" s="22"/>
      <c r="H115" s="22"/>
      <c r="I115" s="22"/>
      <c r="J115" s="22"/>
      <c r="K115" s="22"/>
      <c r="L115" s="22"/>
      <c r="M115" s="22"/>
      <c r="N115" s="43"/>
      <c r="O115" s="42"/>
      <c r="P115" s="42"/>
      <c r="Q115" s="49"/>
      <c r="R115" s="39">
        <v>31240</v>
      </c>
      <c r="S115" s="41">
        <v>4148.3</v>
      </c>
      <c r="T115" s="41"/>
      <c r="U115" s="16">
        <f t="shared" si="13"/>
        <v>-4148.3</v>
      </c>
      <c r="V115" s="45">
        <f t="shared" si="14"/>
        <v>-1</v>
      </c>
    </row>
    <row r="116" spans="1:22" x14ac:dyDescent="0.2">
      <c r="A116" s="3">
        <v>701300</v>
      </c>
      <c r="B116" s="3" t="s">
        <v>276</v>
      </c>
      <c r="C116" s="57">
        <v>721130</v>
      </c>
      <c r="D116" s="57" t="s">
        <v>276</v>
      </c>
      <c r="E116" s="22"/>
      <c r="F116" s="22">
        <v>12.700000000000001</v>
      </c>
      <c r="G116" s="22"/>
      <c r="H116" s="22"/>
      <c r="I116" s="22"/>
      <c r="J116" s="22"/>
      <c r="K116" s="22"/>
      <c r="L116" s="22"/>
      <c r="M116" s="22"/>
      <c r="N116" s="43"/>
      <c r="O116" s="22"/>
      <c r="P116" s="22"/>
      <c r="Q116" s="22"/>
      <c r="R116" s="22"/>
      <c r="S116" s="22"/>
      <c r="T116" s="22"/>
      <c r="U116" s="16">
        <f t="shared" si="13"/>
        <v>0</v>
      </c>
      <c r="V116" s="45" t="e">
        <f t="shared" si="14"/>
        <v>#DIV/0!</v>
      </c>
    </row>
    <row r="117" spans="1:22" x14ac:dyDescent="0.2">
      <c r="A117" s="3">
        <v>701301</v>
      </c>
      <c r="B117" s="3" t="s">
        <v>339</v>
      </c>
      <c r="C117" s="1">
        <v>721135</v>
      </c>
      <c r="D117" s="1" t="s">
        <v>83</v>
      </c>
      <c r="E117" s="22">
        <v>1510.5</v>
      </c>
      <c r="F117" s="22">
        <v>1121.5</v>
      </c>
      <c r="G117" s="22">
        <v>2819</v>
      </c>
      <c r="H117" s="22">
        <v>39593</v>
      </c>
      <c r="I117" s="22">
        <v>35851.800000000003</v>
      </c>
      <c r="J117" s="22">
        <v>41230.68</v>
      </c>
      <c r="K117" s="22">
        <v>20694.86</v>
      </c>
      <c r="L117" s="22">
        <v>3250</v>
      </c>
      <c r="M117" s="22"/>
      <c r="N117" s="43"/>
      <c r="O117" s="22"/>
      <c r="P117" s="22">
        <v>50099</v>
      </c>
      <c r="Q117" s="22"/>
      <c r="R117" s="22"/>
      <c r="S117" s="22"/>
      <c r="T117" s="41">
        <v>486082.32</v>
      </c>
      <c r="U117" s="16">
        <f t="shared" si="13"/>
        <v>486082.32</v>
      </c>
      <c r="V117" s="45" t="e">
        <f t="shared" si="14"/>
        <v>#DIV/0!</v>
      </c>
    </row>
    <row r="118" spans="1:22" x14ac:dyDescent="0.2">
      <c r="A118" s="72">
        <v>701402</v>
      </c>
      <c r="B118" s="107" t="s">
        <v>497</v>
      </c>
      <c r="C118" s="1"/>
      <c r="D118" s="1"/>
      <c r="E118" s="22"/>
      <c r="F118" s="22"/>
      <c r="G118" s="22"/>
      <c r="H118" s="22"/>
      <c r="I118" s="22"/>
      <c r="J118" s="22"/>
      <c r="K118" s="22"/>
      <c r="L118" s="22"/>
      <c r="M118" s="22"/>
      <c r="N118" s="43"/>
      <c r="O118" s="22"/>
      <c r="P118" s="22"/>
      <c r="Q118" s="22"/>
      <c r="R118" s="22"/>
      <c r="S118" s="22"/>
      <c r="T118" s="41">
        <v>200</v>
      </c>
      <c r="U118" s="16">
        <f t="shared" si="13"/>
        <v>200</v>
      </c>
      <c r="V118" s="45" t="e">
        <f t="shared" si="14"/>
        <v>#DIV/0!</v>
      </c>
    </row>
    <row r="119" spans="1:22" x14ac:dyDescent="0.2">
      <c r="A119" s="3">
        <v>701403</v>
      </c>
      <c r="B119" s="3" t="s">
        <v>342</v>
      </c>
      <c r="C119" s="1">
        <v>721140</v>
      </c>
      <c r="D119" s="1" t="s">
        <v>84</v>
      </c>
      <c r="E119" s="22">
        <v>22071.480000000003</v>
      </c>
      <c r="F119" s="22">
        <v>13458.369999999999</v>
      </c>
      <c r="G119" s="22">
        <v>16623.23</v>
      </c>
      <c r="H119" s="22">
        <v>15197.140000000001</v>
      </c>
      <c r="I119" s="22">
        <v>40327.700000000004</v>
      </c>
      <c r="J119" s="22">
        <v>46959.619999999995</v>
      </c>
      <c r="K119" s="22">
        <v>64218.73</v>
      </c>
      <c r="L119" s="22">
        <v>84964.08</v>
      </c>
      <c r="M119" s="22">
        <v>59430.18</v>
      </c>
      <c r="N119" s="43">
        <v>70794.58</v>
      </c>
      <c r="O119" s="42">
        <v>63604.180000000008</v>
      </c>
      <c r="P119" s="42">
        <v>43531.96</v>
      </c>
      <c r="Q119" s="49">
        <v>216181.24</v>
      </c>
      <c r="R119" s="39">
        <v>44468.84</v>
      </c>
      <c r="S119" s="41">
        <v>46563.87000000001</v>
      </c>
      <c r="T119" s="41">
        <v>57548.7</v>
      </c>
      <c r="U119" s="16">
        <f t="shared" si="13"/>
        <v>10984.829999999987</v>
      </c>
      <c r="V119" s="45">
        <f t="shared" si="14"/>
        <v>0.23590887097657443</v>
      </c>
    </row>
    <row r="120" spans="1:22" x14ac:dyDescent="0.2">
      <c r="A120" s="3">
        <v>701302</v>
      </c>
      <c r="B120" s="3" t="s">
        <v>340</v>
      </c>
      <c r="C120" s="1">
        <v>721145</v>
      </c>
      <c r="D120" s="1" t="s">
        <v>85</v>
      </c>
      <c r="E120" s="22">
        <v>62324.83</v>
      </c>
      <c r="F120" s="22">
        <v>53500.990000000005</v>
      </c>
      <c r="G120" s="22">
        <v>67903.41</v>
      </c>
      <c r="H120" s="22">
        <v>56491.8</v>
      </c>
      <c r="I120" s="22">
        <v>49943.229999999996</v>
      </c>
      <c r="J120" s="22">
        <v>69450.320000000007</v>
      </c>
      <c r="K120" s="22">
        <v>83740.53</v>
      </c>
      <c r="L120" s="22">
        <v>83970.69</v>
      </c>
      <c r="M120" s="22">
        <v>104656.82</v>
      </c>
      <c r="N120" s="43">
        <v>77368.700000000012</v>
      </c>
      <c r="O120" s="42">
        <v>69500.94</v>
      </c>
      <c r="P120" s="42">
        <v>108054.59000000001</v>
      </c>
      <c r="Q120" s="49">
        <v>69641.490000000005</v>
      </c>
      <c r="R120" s="39">
        <v>79870.75</v>
      </c>
      <c r="S120" s="41">
        <v>102538.14000000001</v>
      </c>
      <c r="T120" s="41">
        <v>52781.4</v>
      </c>
      <c r="U120" s="16">
        <f t="shared" si="13"/>
        <v>-49756.740000000013</v>
      </c>
      <c r="V120" s="45">
        <f t="shared" si="14"/>
        <v>-0.48525104902429483</v>
      </c>
    </row>
    <row r="121" spans="1:22" x14ac:dyDescent="0.2">
      <c r="A121" s="3">
        <v>701400</v>
      </c>
      <c r="B121" s="3" t="s">
        <v>341</v>
      </c>
      <c r="C121" s="1">
        <v>721146</v>
      </c>
      <c r="D121" s="1" t="s">
        <v>86</v>
      </c>
      <c r="E121" s="22"/>
      <c r="F121" s="22"/>
      <c r="G121" s="22">
        <v>4350</v>
      </c>
      <c r="H121" s="22">
        <v>15000</v>
      </c>
      <c r="I121" s="22">
        <v>7350</v>
      </c>
      <c r="J121" s="22">
        <v>7999</v>
      </c>
      <c r="K121" s="22">
        <v>16000</v>
      </c>
      <c r="L121" s="22">
        <v>7340</v>
      </c>
      <c r="M121" s="22">
        <v>16197</v>
      </c>
      <c r="N121" s="43">
        <v>10425.66</v>
      </c>
      <c r="O121" s="42">
        <v>11325</v>
      </c>
      <c r="P121" s="42">
        <v>14866</v>
      </c>
      <c r="Q121" s="49">
        <v>12950</v>
      </c>
      <c r="R121" s="39">
        <v>9654.2099999999991</v>
      </c>
      <c r="S121" s="41">
        <v>1450</v>
      </c>
      <c r="T121" s="41"/>
      <c r="U121" s="16">
        <f t="shared" si="13"/>
        <v>-1450</v>
      </c>
      <c r="V121" s="45">
        <f t="shared" si="14"/>
        <v>-1</v>
      </c>
    </row>
    <row r="122" spans="1:22" x14ac:dyDescent="0.2">
      <c r="A122" s="3">
        <v>701406</v>
      </c>
      <c r="B122" s="3" t="s">
        <v>345</v>
      </c>
      <c r="C122" s="1">
        <v>721150</v>
      </c>
      <c r="D122" s="1" t="s">
        <v>87</v>
      </c>
      <c r="E122" s="22">
        <v>106524.8</v>
      </c>
      <c r="F122" s="22">
        <v>110990.98000000001</v>
      </c>
      <c r="G122" s="22">
        <v>114729.27999999998</v>
      </c>
      <c r="H122" s="22">
        <v>119640.48</v>
      </c>
      <c r="I122" s="22">
        <v>125992.18999999999</v>
      </c>
      <c r="J122" s="22">
        <v>125879.88</v>
      </c>
      <c r="K122" s="22">
        <v>150677.95000000001</v>
      </c>
      <c r="L122" s="22">
        <v>157756.67000000001</v>
      </c>
      <c r="M122" s="22">
        <v>166278.69</v>
      </c>
      <c r="N122" s="43">
        <v>171168.64000000001</v>
      </c>
      <c r="O122" s="42">
        <v>181193.45</v>
      </c>
      <c r="P122" s="42">
        <v>219714.08000000002</v>
      </c>
      <c r="Q122" s="49">
        <v>284087</v>
      </c>
      <c r="R122" s="39">
        <v>295721.04000000004</v>
      </c>
      <c r="S122" s="41">
        <v>264846.2</v>
      </c>
      <c r="T122" s="41">
        <v>123880.1</v>
      </c>
      <c r="U122" s="16">
        <f t="shared" si="13"/>
        <v>-140966.1</v>
      </c>
      <c r="V122" s="45">
        <f t="shared" si="14"/>
        <v>-0.5322564567662289</v>
      </c>
    </row>
    <row r="123" spans="1:22" x14ac:dyDescent="0.2">
      <c r="A123" s="3">
        <v>701405</v>
      </c>
      <c r="B123" s="3" t="s">
        <v>344</v>
      </c>
      <c r="C123" s="1">
        <v>721160</v>
      </c>
      <c r="D123" s="1" t="s">
        <v>88</v>
      </c>
      <c r="E123" s="22"/>
      <c r="F123" s="22">
        <v>125</v>
      </c>
      <c r="G123" s="22"/>
      <c r="H123" s="22"/>
      <c r="I123" s="22">
        <v>5017.82</v>
      </c>
      <c r="J123" s="22">
        <v>5000</v>
      </c>
      <c r="K123" s="22">
        <v>9086.1</v>
      </c>
      <c r="L123" s="22">
        <v>42075.51</v>
      </c>
      <c r="M123" s="22">
        <v>14337.18</v>
      </c>
      <c r="N123" s="43">
        <v>13235.4</v>
      </c>
      <c r="O123" s="22"/>
      <c r="P123" s="22">
        <v>1491.2</v>
      </c>
      <c r="Q123" s="49">
        <v>31635.670000000002</v>
      </c>
      <c r="R123" s="39">
        <v>5233.8599999999997</v>
      </c>
      <c r="S123" s="41">
        <v>12018.66</v>
      </c>
      <c r="T123" s="41"/>
      <c r="U123" s="16">
        <f t="shared" si="13"/>
        <v>-12018.66</v>
      </c>
      <c r="V123" s="45">
        <f t="shared" si="14"/>
        <v>-1</v>
      </c>
    </row>
    <row r="124" spans="1:22" x14ac:dyDescent="0.2">
      <c r="A124" s="3">
        <v>701500</v>
      </c>
      <c r="B124" s="3" t="s">
        <v>346</v>
      </c>
      <c r="C124" s="1">
        <v>722100</v>
      </c>
      <c r="D124" s="1" t="s">
        <v>89</v>
      </c>
      <c r="E124" s="22">
        <v>66127.819999999992</v>
      </c>
      <c r="F124" s="22">
        <v>72953.260000000009</v>
      </c>
      <c r="G124" s="22">
        <v>77245.040000000008</v>
      </c>
      <c r="H124" s="22">
        <v>59969.33</v>
      </c>
      <c r="I124" s="22">
        <v>69913.91</v>
      </c>
      <c r="J124" s="22">
        <v>78469.77</v>
      </c>
      <c r="K124" s="22">
        <v>76619.569999999992</v>
      </c>
      <c r="L124" s="22">
        <v>85025.23</v>
      </c>
      <c r="M124" s="22">
        <v>91240.28</v>
      </c>
      <c r="N124" s="43">
        <v>88571</v>
      </c>
      <c r="O124" s="42">
        <v>79681.17</v>
      </c>
      <c r="P124" s="42">
        <v>97499.459999999992</v>
      </c>
      <c r="Q124" s="49">
        <v>104749</v>
      </c>
      <c r="R124" s="39">
        <v>88170.41</v>
      </c>
      <c r="S124" s="41">
        <v>91941.17</v>
      </c>
      <c r="T124" s="41">
        <v>81397.34</v>
      </c>
      <c r="U124" s="16">
        <f t="shared" si="13"/>
        <v>-10543.830000000002</v>
      </c>
      <c r="V124" s="45">
        <f t="shared" si="14"/>
        <v>-0.11468018081562376</v>
      </c>
    </row>
    <row r="125" spans="1:22" x14ac:dyDescent="0.2">
      <c r="A125" s="3">
        <v>701501</v>
      </c>
      <c r="B125" s="3" t="s">
        <v>90</v>
      </c>
      <c r="C125" s="1">
        <v>722105</v>
      </c>
      <c r="D125" s="1" t="s">
        <v>90</v>
      </c>
      <c r="E125" s="22">
        <v>5369.73</v>
      </c>
      <c r="F125" s="22">
        <v>7642.39</v>
      </c>
      <c r="G125" s="22">
        <v>9256.35</v>
      </c>
      <c r="H125" s="22">
        <v>9991.93</v>
      </c>
      <c r="I125" s="22">
        <v>3234.12</v>
      </c>
      <c r="J125" s="22">
        <v>17606.45</v>
      </c>
      <c r="K125" s="22">
        <v>3853.91</v>
      </c>
      <c r="L125" s="22">
        <v>2973.9600000000005</v>
      </c>
      <c r="M125" s="22">
        <v>5864.06</v>
      </c>
      <c r="N125" s="43">
        <v>11576.55</v>
      </c>
      <c r="O125" s="42">
        <v>11135.64</v>
      </c>
      <c r="P125" s="42">
        <v>19876.349999999999</v>
      </c>
      <c r="Q125" s="49">
        <v>24104.370000000003</v>
      </c>
      <c r="R125" s="39">
        <v>18620.259999999998</v>
      </c>
      <c r="S125" s="41">
        <v>10152.549999999999</v>
      </c>
      <c r="T125" s="41">
        <v>12587.539999999999</v>
      </c>
      <c r="U125" s="16">
        <f t="shared" si="13"/>
        <v>2434.9899999999998</v>
      </c>
      <c r="V125" s="45">
        <f t="shared" si="14"/>
        <v>0.23984023718179176</v>
      </c>
    </row>
    <row r="126" spans="1:22" x14ac:dyDescent="0.2">
      <c r="A126" s="3">
        <v>701502</v>
      </c>
      <c r="B126" s="3" t="s">
        <v>91</v>
      </c>
      <c r="C126" s="1">
        <v>722110</v>
      </c>
      <c r="D126" s="1" t="s">
        <v>91</v>
      </c>
      <c r="E126" s="22">
        <v>2573.44</v>
      </c>
      <c r="F126" s="22">
        <v>2408.2600000000002</v>
      </c>
      <c r="G126" s="22">
        <v>100</v>
      </c>
      <c r="H126" s="22">
        <v>1636.8</v>
      </c>
      <c r="I126" s="22">
        <v>1562.88</v>
      </c>
      <c r="J126" s="22">
        <v>1576.32</v>
      </c>
      <c r="K126" s="22">
        <v>1616.8400000000001</v>
      </c>
      <c r="L126" s="22">
        <v>3156.83</v>
      </c>
      <c r="M126" s="22">
        <v>1674.69</v>
      </c>
      <c r="N126" s="43">
        <v>1740.7</v>
      </c>
      <c r="O126" s="42">
        <v>1741.5</v>
      </c>
      <c r="P126" s="42">
        <v>1718.5</v>
      </c>
      <c r="Q126" s="49">
        <v>1723.16</v>
      </c>
      <c r="R126" s="39">
        <v>1866.23</v>
      </c>
      <c r="S126" s="41">
        <v>3618.91</v>
      </c>
      <c r="T126" s="41">
        <v>1040.56</v>
      </c>
      <c r="U126" s="16">
        <f t="shared" si="13"/>
        <v>-2578.35</v>
      </c>
      <c r="V126" s="45">
        <f t="shared" si="14"/>
        <v>-0.71246590824308975</v>
      </c>
    </row>
    <row r="127" spans="1:22" x14ac:dyDescent="0.2">
      <c r="A127" s="3">
        <v>701600</v>
      </c>
      <c r="B127" s="3" t="s">
        <v>92</v>
      </c>
      <c r="C127" s="1">
        <v>723100</v>
      </c>
      <c r="D127" s="1" t="s">
        <v>92</v>
      </c>
      <c r="E127" s="22">
        <v>2.84</v>
      </c>
      <c r="F127" s="22"/>
      <c r="G127" s="22"/>
      <c r="H127" s="22"/>
      <c r="I127" s="22"/>
      <c r="J127" s="22"/>
      <c r="K127" s="22"/>
      <c r="L127" s="22"/>
      <c r="M127" s="22"/>
      <c r="N127" s="43"/>
      <c r="O127" s="42">
        <v>-20.5</v>
      </c>
      <c r="P127" s="42"/>
      <c r="Q127" s="42"/>
      <c r="R127" s="42"/>
      <c r="S127" s="42"/>
      <c r="T127" s="42"/>
      <c r="U127" s="16">
        <f t="shared" si="13"/>
        <v>0</v>
      </c>
      <c r="V127" s="45" t="e">
        <f t="shared" si="14"/>
        <v>#DIV/0!</v>
      </c>
    </row>
    <row r="128" spans="1:22" x14ac:dyDescent="0.2">
      <c r="A128" s="3">
        <v>701602</v>
      </c>
      <c r="B128" s="3" t="s">
        <v>93</v>
      </c>
      <c r="C128" s="1">
        <v>723120</v>
      </c>
      <c r="D128" s="1" t="s">
        <v>93</v>
      </c>
      <c r="E128" s="22">
        <v>983.09</v>
      </c>
      <c r="F128" s="22">
        <v>1804.96</v>
      </c>
      <c r="G128" s="22">
        <v>1254.5500000000002</v>
      </c>
      <c r="H128" s="22">
        <v>749.99</v>
      </c>
      <c r="I128" s="22">
        <v>695.18000000000006</v>
      </c>
      <c r="J128" s="22">
        <v>1196.8</v>
      </c>
      <c r="K128" s="22">
        <v>768.47</v>
      </c>
      <c r="L128" s="22">
        <v>1368.5900000000001</v>
      </c>
      <c r="M128" s="22">
        <v>902.12</v>
      </c>
      <c r="N128" s="43">
        <v>272.43</v>
      </c>
      <c r="O128" s="42">
        <v>128.62</v>
      </c>
      <c r="P128" s="42">
        <v>3598.82</v>
      </c>
      <c r="Q128" s="49">
        <v>1558.0100000000002</v>
      </c>
      <c r="R128" s="39">
        <v>-622.93000000000006</v>
      </c>
      <c r="S128" s="41">
        <v>100175.28000000001</v>
      </c>
      <c r="T128" s="41">
        <v>11068.220000000001</v>
      </c>
      <c r="U128" s="16">
        <f t="shared" si="13"/>
        <v>-89107.060000000012</v>
      </c>
      <c r="V128" s="45">
        <f t="shared" si="14"/>
        <v>-0.88951146430536554</v>
      </c>
    </row>
    <row r="129" spans="1:22" x14ac:dyDescent="0.2">
      <c r="A129" s="3">
        <v>701603</v>
      </c>
      <c r="B129" s="3" t="s">
        <v>94</v>
      </c>
      <c r="C129" s="1">
        <v>723130</v>
      </c>
      <c r="D129" s="1" t="s">
        <v>94</v>
      </c>
      <c r="E129" s="22">
        <v>61125.51</v>
      </c>
      <c r="F129" s="22">
        <v>115690.07999999999</v>
      </c>
      <c r="G129" s="22">
        <v>61698.58</v>
      </c>
      <c r="H129" s="22">
        <v>72454.559999999998</v>
      </c>
      <c r="I129" s="22">
        <v>52600.020000000004</v>
      </c>
      <c r="J129" s="22">
        <v>70019.48000000001</v>
      </c>
      <c r="K129" s="22">
        <v>69540.739999999991</v>
      </c>
      <c r="L129" s="22">
        <v>71822.700000000012</v>
      </c>
      <c r="M129" s="22">
        <v>84316.390000000014</v>
      </c>
      <c r="N129" s="43">
        <v>75126.509999999995</v>
      </c>
      <c r="O129" s="42">
        <v>75929.700000000012</v>
      </c>
      <c r="P129" s="42">
        <v>86957.430000000008</v>
      </c>
      <c r="Q129" s="49">
        <v>82036.69</v>
      </c>
      <c r="R129" s="39">
        <v>86580.5</v>
      </c>
      <c r="S129" s="41">
        <v>40102.709999999992</v>
      </c>
      <c r="T129" s="41">
        <v>23710.73</v>
      </c>
      <c r="U129" s="16">
        <f t="shared" si="13"/>
        <v>-16391.979999999992</v>
      </c>
      <c r="V129" s="45">
        <f t="shared" si="14"/>
        <v>-0.40874993236117946</v>
      </c>
    </row>
    <row r="130" spans="1:22" x14ac:dyDescent="0.2">
      <c r="A130" s="3">
        <v>705001</v>
      </c>
      <c r="B130" s="3" t="s">
        <v>357</v>
      </c>
      <c r="C130" s="57">
        <v>731100</v>
      </c>
      <c r="D130" s="57" t="s">
        <v>188</v>
      </c>
      <c r="E130" s="22">
        <v>28024.350000000002</v>
      </c>
      <c r="F130" s="22">
        <v>30050.559999999994</v>
      </c>
      <c r="G130" s="22">
        <v>29839.170000000006</v>
      </c>
      <c r="H130" s="22">
        <v>39199.39</v>
      </c>
      <c r="I130" s="22">
        <v>36383.910000000003</v>
      </c>
      <c r="J130" s="22">
        <v>79148.64999999998</v>
      </c>
      <c r="K130" s="22">
        <v>66058.45</v>
      </c>
      <c r="L130" s="22">
        <v>37023.900000000009</v>
      </c>
      <c r="M130" s="22">
        <v>45081.05</v>
      </c>
      <c r="N130" s="43">
        <v>26963.54</v>
      </c>
      <c r="O130" s="42">
        <v>57463.31</v>
      </c>
      <c r="P130" s="42">
        <v>49652.610000000008</v>
      </c>
      <c r="Q130" s="49">
        <v>50581.189999999995</v>
      </c>
      <c r="R130" s="39">
        <v>44538.69000000001</v>
      </c>
      <c r="S130" s="41">
        <v>21256.879999999997</v>
      </c>
      <c r="T130" s="41">
        <v>49110.04</v>
      </c>
      <c r="U130" s="16">
        <f t="shared" si="13"/>
        <v>27853.160000000003</v>
      </c>
      <c r="V130" s="45">
        <f t="shared" si="14"/>
        <v>1.3103127081678971</v>
      </c>
    </row>
    <row r="131" spans="1:22" x14ac:dyDescent="0.2">
      <c r="A131" s="3">
        <v>705101</v>
      </c>
      <c r="B131" s="3" t="s">
        <v>361</v>
      </c>
      <c r="C131" s="57">
        <v>731105</v>
      </c>
      <c r="D131" s="57" t="s">
        <v>189</v>
      </c>
      <c r="E131" s="22">
        <v>512296.23</v>
      </c>
      <c r="F131" s="22">
        <v>615324.39</v>
      </c>
      <c r="G131" s="22">
        <v>571524.12</v>
      </c>
      <c r="H131" s="22">
        <v>574584.3600000001</v>
      </c>
      <c r="I131" s="22">
        <v>513452.30000000005</v>
      </c>
      <c r="J131" s="22">
        <v>589853.5</v>
      </c>
      <c r="K131" s="22">
        <v>667347.41</v>
      </c>
      <c r="L131" s="22">
        <v>724398.6399999999</v>
      </c>
      <c r="M131" s="22">
        <v>684506.7300000001</v>
      </c>
      <c r="N131" s="43">
        <v>575030.36999999988</v>
      </c>
      <c r="O131" s="42">
        <v>612217.41999999993</v>
      </c>
      <c r="P131" s="42">
        <v>745483.47000000009</v>
      </c>
      <c r="Q131" s="49">
        <v>824932.66000000015</v>
      </c>
      <c r="R131" s="39">
        <v>853485.84999999986</v>
      </c>
      <c r="S131" s="41">
        <v>663738.97</v>
      </c>
      <c r="T131" s="41">
        <v>268552.54000000004</v>
      </c>
      <c r="U131" s="16">
        <f t="shared" si="13"/>
        <v>-395186.42999999993</v>
      </c>
      <c r="V131" s="45">
        <f t="shared" si="14"/>
        <v>-0.59539434606348329</v>
      </c>
    </row>
    <row r="132" spans="1:22" x14ac:dyDescent="0.2">
      <c r="A132" s="3">
        <v>705002</v>
      </c>
      <c r="B132" s="3" t="s">
        <v>358</v>
      </c>
      <c r="C132" s="57">
        <v>731200</v>
      </c>
      <c r="D132" s="57" t="s">
        <v>190</v>
      </c>
      <c r="E132" s="22">
        <v>42534.759999999995</v>
      </c>
      <c r="F132" s="22">
        <v>36125.329999999994</v>
      </c>
      <c r="G132" s="22">
        <v>27798.870000000003</v>
      </c>
      <c r="H132" s="22">
        <v>28887.46</v>
      </c>
      <c r="I132" s="22">
        <v>44856.280000000006</v>
      </c>
      <c r="J132" s="22">
        <v>27142.260000000002</v>
      </c>
      <c r="K132" s="22">
        <v>39468.740000000005</v>
      </c>
      <c r="L132" s="22">
        <v>38704.460000000006</v>
      </c>
      <c r="M132" s="22">
        <v>30968.41</v>
      </c>
      <c r="N132" s="43">
        <v>39053.740000000005</v>
      </c>
      <c r="O132" s="42">
        <v>34537.49</v>
      </c>
      <c r="P132" s="42">
        <v>30975.269999999997</v>
      </c>
      <c r="Q132" s="49">
        <v>25381.670000000002</v>
      </c>
      <c r="R132" s="39">
        <v>35294.949999999997</v>
      </c>
      <c r="S132" s="41">
        <v>26135</v>
      </c>
      <c r="T132" s="41">
        <v>974.76</v>
      </c>
      <c r="U132" s="16">
        <f t="shared" si="13"/>
        <v>-25160.240000000002</v>
      </c>
      <c r="V132" s="45">
        <f t="shared" si="14"/>
        <v>-0.96270288884637467</v>
      </c>
    </row>
    <row r="133" spans="1:22" x14ac:dyDescent="0.2">
      <c r="A133" s="3">
        <v>705102</v>
      </c>
      <c r="B133" s="3" t="s">
        <v>362</v>
      </c>
      <c r="C133" s="1">
        <v>731205</v>
      </c>
      <c r="D133" s="1" t="s">
        <v>95</v>
      </c>
      <c r="E133" s="22">
        <v>104545.24</v>
      </c>
      <c r="F133" s="22">
        <v>72660.01999999999</v>
      </c>
      <c r="G133" s="22">
        <v>108148.88000000002</v>
      </c>
      <c r="H133" s="22">
        <v>89953.170000000013</v>
      </c>
      <c r="I133" s="22">
        <v>88959.46</v>
      </c>
      <c r="J133" s="22">
        <v>98764.420000000013</v>
      </c>
      <c r="K133" s="22">
        <v>115135.88999999998</v>
      </c>
      <c r="L133" s="22">
        <v>111853.43000000001</v>
      </c>
      <c r="M133" s="22">
        <v>84762.719999999987</v>
      </c>
      <c r="N133" s="43">
        <v>82374.500000000015</v>
      </c>
      <c r="O133" s="42">
        <v>75771.62</v>
      </c>
      <c r="P133" s="42">
        <v>84000.840000000011</v>
      </c>
      <c r="Q133" s="49">
        <v>58145.25</v>
      </c>
      <c r="R133" s="39">
        <v>70985.299999999988</v>
      </c>
      <c r="S133" s="41">
        <v>41032.869999999995</v>
      </c>
      <c r="T133" s="41">
        <v>1715.38</v>
      </c>
      <c r="U133" s="16">
        <f t="shared" si="13"/>
        <v>-39317.49</v>
      </c>
      <c r="V133" s="45">
        <f t="shared" si="14"/>
        <v>-0.95819497880601578</v>
      </c>
    </row>
    <row r="134" spans="1:22" x14ac:dyDescent="0.2">
      <c r="C134" s="57">
        <v>731210</v>
      </c>
      <c r="D134" s="57" t="s">
        <v>277</v>
      </c>
      <c r="E134" s="22"/>
      <c r="F134" s="22"/>
      <c r="G134" s="22"/>
      <c r="H134" s="22"/>
      <c r="I134" s="22"/>
      <c r="J134" s="22">
        <v>5004.78</v>
      </c>
      <c r="K134" s="22">
        <v>2642.69</v>
      </c>
      <c r="L134" s="22">
        <v>3137.96</v>
      </c>
      <c r="M134" s="22"/>
      <c r="N134" s="43"/>
      <c r="O134" s="22"/>
      <c r="P134" s="22"/>
      <c r="Q134" s="22"/>
      <c r="R134" s="22"/>
      <c r="S134" s="22"/>
      <c r="T134" s="22"/>
      <c r="U134" s="16">
        <f t="shared" si="13"/>
        <v>0</v>
      </c>
      <c r="V134" s="45" t="e">
        <f t="shared" si="14"/>
        <v>#DIV/0!</v>
      </c>
    </row>
    <row r="135" spans="1:22" x14ac:dyDescent="0.2">
      <c r="A135" s="3">
        <v>705000</v>
      </c>
      <c r="B135" s="3" t="s">
        <v>356</v>
      </c>
      <c r="C135" s="1">
        <v>732100</v>
      </c>
      <c r="D135" s="1" t="s">
        <v>96</v>
      </c>
      <c r="E135" s="22">
        <v>14109.160000000002</v>
      </c>
      <c r="F135" s="22">
        <v>12033.91</v>
      </c>
      <c r="G135" s="22">
        <v>16765.410000000003</v>
      </c>
      <c r="H135" s="22">
        <v>5590.630000000001</v>
      </c>
      <c r="I135" s="22">
        <v>7216.420000000001</v>
      </c>
      <c r="J135" s="22">
        <v>3834.2299999999996</v>
      </c>
      <c r="K135" s="22">
        <v>8245.409999999998</v>
      </c>
      <c r="L135" s="22">
        <v>9604.8700000000008</v>
      </c>
      <c r="M135" s="22">
        <v>18648.020000000004</v>
      </c>
      <c r="N135" s="43">
        <v>8460.81</v>
      </c>
      <c r="O135" s="42">
        <v>5461.82</v>
      </c>
      <c r="P135" s="42">
        <v>5730.17</v>
      </c>
      <c r="Q135" s="49">
        <v>9834.5299999999988</v>
      </c>
      <c r="R135" s="39">
        <v>2626.33</v>
      </c>
      <c r="S135" s="41">
        <v>95589.29</v>
      </c>
      <c r="T135" s="41">
        <v>10702.24</v>
      </c>
      <c r="U135" s="16">
        <f t="shared" si="13"/>
        <v>-84887.049999999988</v>
      </c>
      <c r="V135" s="45">
        <f t="shared" si="14"/>
        <v>-0.88803933997208262</v>
      </c>
    </row>
    <row r="136" spans="1:22" x14ac:dyDescent="0.2">
      <c r="A136" s="3">
        <v>705100</v>
      </c>
      <c r="B136" s="3" t="s">
        <v>360</v>
      </c>
      <c r="C136" s="1">
        <v>732105</v>
      </c>
      <c r="D136" s="1" t="s">
        <v>97</v>
      </c>
      <c r="E136" s="22">
        <v>94993.630000000019</v>
      </c>
      <c r="F136" s="22">
        <v>127856.58</v>
      </c>
      <c r="G136" s="22">
        <v>124397.16</v>
      </c>
      <c r="H136" s="22">
        <v>51841.34</v>
      </c>
      <c r="I136" s="22">
        <v>65674.720000000001</v>
      </c>
      <c r="J136" s="22">
        <v>75883.23000000001</v>
      </c>
      <c r="K136" s="22">
        <v>82553.640000000014</v>
      </c>
      <c r="L136" s="22">
        <v>80518.990000000005</v>
      </c>
      <c r="M136" s="22">
        <v>84311.080000000045</v>
      </c>
      <c r="N136" s="43">
        <v>70767.319999999992</v>
      </c>
      <c r="O136" s="42">
        <v>69222.12</v>
      </c>
      <c r="P136" s="42">
        <v>62757.990000000005</v>
      </c>
      <c r="Q136" s="49">
        <v>64943.649999999994</v>
      </c>
      <c r="R136" s="39">
        <v>78434.039999999979</v>
      </c>
      <c r="S136" s="41">
        <v>46002.270000000011</v>
      </c>
      <c r="T136" s="41">
        <v>810.54</v>
      </c>
      <c r="U136" s="16">
        <f t="shared" si="13"/>
        <v>-45191.73000000001</v>
      </c>
      <c r="V136" s="45">
        <f t="shared" si="14"/>
        <v>-0.98238043470463521</v>
      </c>
    </row>
    <row r="137" spans="1:22" x14ac:dyDescent="0.2">
      <c r="A137" s="3">
        <v>705300</v>
      </c>
      <c r="B137" s="3" t="s">
        <v>98</v>
      </c>
      <c r="C137" s="1">
        <v>732110</v>
      </c>
      <c r="D137" s="1" t="s">
        <v>98</v>
      </c>
      <c r="E137" s="22"/>
      <c r="F137" s="22">
        <v>39.840000000000003</v>
      </c>
      <c r="G137" s="22">
        <v>34698.199999999997</v>
      </c>
      <c r="H137" s="22">
        <v>2950.4</v>
      </c>
      <c r="I137" s="22"/>
      <c r="J137" s="22">
        <v>500</v>
      </c>
      <c r="K137" s="22"/>
      <c r="L137" s="22"/>
      <c r="M137" s="22">
        <v>3107.95</v>
      </c>
      <c r="N137" s="43">
        <v>331.7</v>
      </c>
      <c r="O137" s="42">
        <v>1924.71</v>
      </c>
      <c r="P137" s="42">
        <v>373.70000000000005</v>
      </c>
      <c r="Q137" s="49">
        <v>1374.74</v>
      </c>
      <c r="R137" s="39">
        <v>5102.2299999999996</v>
      </c>
      <c r="S137" s="41">
        <v>5275.45</v>
      </c>
      <c r="T137" s="41"/>
      <c r="U137" s="16">
        <f t="shared" si="13"/>
        <v>-5275.45</v>
      </c>
      <c r="V137" s="45">
        <f t="shared" si="14"/>
        <v>-1</v>
      </c>
    </row>
    <row r="138" spans="1:22" x14ac:dyDescent="0.2">
      <c r="A138" s="3">
        <v>705500</v>
      </c>
      <c r="B138" s="3" t="s">
        <v>363</v>
      </c>
      <c r="C138" s="1">
        <v>732115</v>
      </c>
      <c r="D138" s="1" t="s">
        <v>99</v>
      </c>
      <c r="E138" s="22"/>
      <c r="F138" s="22"/>
      <c r="G138" s="22"/>
      <c r="H138" s="22">
        <v>17781.36</v>
      </c>
      <c r="I138" s="22">
        <v>17262.93</v>
      </c>
      <c r="J138" s="22">
        <v>16138.31</v>
      </c>
      <c r="K138" s="22">
        <v>16587.419999999998</v>
      </c>
      <c r="L138" s="22">
        <v>16011.279999999999</v>
      </c>
      <c r="M138" s="22">
        <v>19262.810000000001</v>
      </c>
      <c r="N138" s="43">
        <v>20815.93</v>
      </c>
      <c r="O138" s="42">
        <v>21141.47</v>
      </c>
      <c r="P138" s="42">
        <v>21283.5</v>
      </c>
      <c r="Q138" s="49">
        <v>23436.75</v>
      </c>
      <c r="R138" s="39">
        <v>22851.680000000004</v>
      </c>
      <c r="S138" s="41">
        <v>16926.93</v>
      </c>
      <c r="T138" s="41">
        <v>13464.8</v>
      </c>
      <c r="U138" s="16">
        <f t="shared" si="13"/>
        <v>-3462.130000000001</v>
      </c>
      <c r="V138" s="45">
        <f t="shared" si="14"/>
        <v>-0.20453384045423481</v>
      </c>
    </row>
    <row r="139" spans="1:22" x14ac:dyDescent="0.2">
      <c r="A139" s="72">
        <v>705600</v>
      </c>
      <c r="B139" s="107" t="s">
        <v>496</v>
      </c>
      <c r="C139" s="1"/>
      <c r="D139" s="1"/>
      <c r="E139" s="22"/>
      <c r="F139" s="22"/>
      <c r="G139" s="22"/>
      <c r="H139" s="22"/>
      <c r="I139" s="22"/>
      <c r="J139" s="22"/>
      <c r="K139" s="22"/>
      <c r="L139" s="22"/>
      <c r="M139" s="22"/>
      <c r="N139" s="43"/>
      <c r="O139" s="42"/>
      <c r="P139" s="42"/>
      <c r="Q139" s="49"/>
      <c r="R139" s="39"/>
      <c r="S139" s="41"/>
      <c r="T139" s="41">
        <v>3979</v>
      </c>
      <c r="U139" s="16">
        <f t="shared" si="13"/>
        <v>3979</v>
      </c>
      <c r="V139" s="45" t="e">
        <f t="shared" si="14"/>
        <v>#DIV/0!</v>
      </c>
    </row>
    <row r="140" spans="1:22" x14ac:dyDescent="0.2">
      <c r="A140" s="3">
        <v>705003</v>
      </c>
      <c r="B140" s="3" t="s">
        <v>359</v>
      </c>
      <c r="C140" s="1">
        <v>732200</v>
      </c>
      <c r="D140" s="1" t="s">
        <v>100</v>
      </c>
      <c r="E140" s="22"/>
      <c r="F140" s="22"/>
      <c r="G140" s="22"/>
      <c r="H140" s="22">
        <v>952</v>
      </c>
      <c r="I140" s="22"/>
      <c r="J140" s="22"/>
      <c r="K140" s="22"/>
      <c r="L140" s="22">
        <v>3669.5</v>
      </c>
      <c r="M140" s="22">
        <v>15435</v>
      </c>
      <c r="N140" s="22"/>
      <c r="O140" s="42">
        <v>3074.76</v>
      </c>
      <c r="P140" s="42">
        <v>15877.74</v>
      </c>
      <c r="Q140" s="49">
        <v>1672</v>
      </c>
      <c r="R140" s="39">
        <v>3267.61</v>
      </c>
      <c r="S140" s="41">
        <v>4355.3899999999994</v>
      </c>
      <c r="T140" s="41"/>
      <c r="U140" s="16">
        <f t="shared" si="13"/>
        <v>-4355.3899999999994</v>
      </c>
      <c r="V140" s="45">
        <f t="shared" si="14"/>
        <v>-1</v>
      </c>
    </row>
    <row r="141" spans="1:22" x14ac:dyDescent="0.2">
      <c r="A141" s="3">
        <v>705103</v>
      </c>
      <c r="B141" s="3" t="s">
        <v>440</v>
      </c>
      <c r="C141" s="1">
        <v>732205</v>
      </c>
      <c r="D141" s="1" t="s">
        <v>101</v>
      </c>
      <c r="U141" s="16">
        <f t="shared" si="13"/>
        <v>0</v>
      </c>
      <c r="V141" s="45" t="e">
        <f t="shared" si="14"/>
        <v>#DIV/0!</v>
      </c>
    </row>
    <row r="142" spans="1:22" x14ac:dyDescent="0.2">
      <c r="A142" s="3">
        <v>705801</v>
      </c>
      <c r="B142" s="3" t="s">
        <v>365</v>
      </c>
      <c r="C142" s="1">
        <v>732210</v>
      </c>
      <c r="D142" s="1" t="s">
        <v>102</v>
      </c>
      <c r="U142" s="16">
        <f t="shared" si="13"/>
        <v>0</v>
      </c>
      <c r="V142" s="45" t="e">
        <f t="shared" si="14"/>
        <v>#DIV/0!</v>
      </c>
    </row>
    <row r="143" spans="1:22" x14ac:dyDescent="0.2">
      <c r="A143" s="3">
        <v>705003</v>
      </c>
      <c r="B143" s="3" t="s">
        <v>359</v>
      </c>
      <c r="C143" s="1">
        <v>732215</v>
      </c>
      <c r="D143" s="1" t="s">
        <v>103</v>
      </c>
      <c r="E143" s="22">
        <v>55.980000000000004</v>
      </c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  <c r="S143" s="22"/>
      <c r="T143" s="22"/>
      <c r="U143" s="16">
        <f t="shared" si="13"/>
        <v>0</v>
      </c>
      <c r="V143" s="45" t="e">
        <f t="shared" si="14"/>
        <v>#DIV/0!</v>
      </c>
    </row>
    <row r="144" spans="1:22" x14ac:dyDescent="0.2">
      <c r="A144" s="3">
        <v>705300</v>
      </c>
      <c r="B144" s="3" t="s">
        <v>98</v>
      </c>
      <c r="C144" s="1">
        <v>732225</v>
      </c>
      <c r="D144" s="1" t="s">
        <v>104</v>
      </c>
      <c r="U144" s="16">
        <f t="shared" si="13"/>
        <v>0</v>
      </c>
      <c r="V144" s="45" t="e">
        <f t="shared" si="14"/>
        <v>#DIV/0!</v>
      </c>
    </row>
    <row r="145" spans="1:22" x14ac:dyDescent="0.2">
      <c r="A145" s="3">
        <v>705800</v>
      </c>
      <c r="B145" s="3" t="s">
        <v>364</v>
      </c>
      <c r="C145" s="1">
        <v>732300</v>
      </c>
      <c r="D145" s="1" t="s">
        <v>105</v>
      </c>
      <c r="E145" s="22"/>
      <c r="F145" s="22"/>
      <c r="G145" s="22"/>
      <c r="H145" s="22">
        <v>50</v>
      </c>
      <c r="I145" s="22"/>
      <c r="J145" s="22"/>
      <c r="K145" s="22"/>
      <c r="L145" s="22"/>
      <c r="M145" s="22"/>
      <c r="N145" s="22"/>
      <c r="O145" s="22"/>
      <c r="P145" s="22"/>
      <c r="Q145" s="49">
        <v>5846.71</v>
      </c>
      <c r="R145" s="49"/>
      <c r="S145" s="49"/>
      <c r="T145" s="49"/>
      <c r="U145" s="16">
        <f t="shared" si="13"/>
        <v>0</v>
      </c>
      <c r="V145" s="45" t="e">
        <f t="shared" si="14"/>
        <v>#DIV/0!</v>
      </c>
    </row>
    <row r="146" spans="1:22" x14ac:dyDescent="0.2">
      <c r="A146" s="72">
        <v>706006</v>
      </c>
      <c r="B146" s="72" t="s">
        <v>370</v>
      </c>
      <c r="C146" s="72">
        <v>741125</v>
      </c>
      <c r="D146" s="72" t="s">
        <v>271</v>
      </c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49"/>
      <c r="R146" s="49"/>
      <c r="S146" s="49"/>
      <c r="T146" s="41">
        <v>78</v>
      </c>
      <c r="U146" s="16">
        <f t="shared" si="13"/>
        <v>78</v>
      </c>
      <c r="V146" s="45" t="e">
        <f t="shared" si="14"/>
        <v>#DIV/0!</v>
      </c>
    </row>
    <row r="147" spans="1:22" x14ac:dyDescent="0.2">
      <c r="A147" s="3">
        <v>706007</v>
      </c>
      <c r="B147" s="3" t="s">
        <v>371</v>
      </c>
      <c r="C147" s="1">
        <v>741100</v>
      </c>
      <c r="D147" s="1" t="s">
        <v>106</v>
      </c>
      <c r="E147" s="22">
        <v>505.8</v>
      </c>
      <c r="F147" s="22"/>
      <c r="G147" s="22"/>
      <c r="H147" s="22"/>
      <c r="I147" s="22"/>
      <c r="J147" s="22"/>
      <c r="K147" s="22"/>
      <c r="L147" s="22">
        <v>1352.88</v>
      </c>
      <c r="M147" s="22">
        <v>1621.73</v>
      </c>
      <c r="N147" s="22"/>
      <c r="O147" s="22"/>
      <c r="P147" s="22"/>
      <c r="Q147" s="22"/>
      <c r="R147" s="22"/>
      <c r="S147" s="22"/>
      <c r="T147" s="22"/>
      <c r="U147" s="16">
        <f t="shared" si="13"/>
        <v>0</v>
      </c>
      <c r="V147" s="45" t="e">
        <f t="shared" si="14"/>
        <v>#DIV/0!</v>
      </c>
    </row>
    <row r="148" spans="1:22" x14ac:dyDescent="0.2">
      <c r="A148" s="3">
        <v>706000</v>
      </c>
      <c r="B148" s="3" t="s">
        <v>366</v>
      </c>
      <c r="C148" s="1">
        <v>741110</v>
      </c>
      <c r="D148" s="1" t="s">
        <v>107</v>
      </c>
      <c r="E148" s="22">
        <v>976.80000000000007</v>
      </c>
      <c r="F148" s="22">
        <v>1018.98</v>
      </c>
      <c r="G148" s="22">
        <v>1237.8399999999999</v>
      </c>
      <c r="H148" s="22">
        <v>1394.5500000000002</v>
      </c>
      <c r="I148" s="22">
        <v>1289.1200000000001</v>
      </c>
      <c r="J148" s="22">
        <v>1426.2</v>
      </c>
      <c r="K148" s="22">
        <v>1364.8899999999999</v>
      </c>
      <c r="L148" s="22"/>
      <c r="M148" s="22"/>
      <c r="N148" s="22"/>
      <c r="O148" s="22"/>
      <c r="P148" s="22"/>
      <c r="Q148" s="22"/>
      <c r="R148" s="39">
        <v>10.09</v>
      </c>
      <c r="S148" s="39"/>
      <c r="T148" s="39"/>
      <c r="U148" s="16">
        <f t="shared" si="13"/>
        <v>0</v>
      </c>
      <c r="V148" s="45" t="e">
        <f t="shared" si="14"/>
        <v>#DIV/0!</v>
      </c>
    </row>
    <row r="149" spans="1:22" x14ac:dyDescent="0.2">
      <c r="A149" s="3">
        <v>706100</v>
      </c>
      <c r="B149" s="3" t="s">
        <v>372</v>
      </c>
      <c r="C149" s="1">
        <v>742120</v>
      </c>
      <c r="D149" s="1" t="s">
        <v>108</v>
      </c>
      <c r="E149" s="22">
        <v>14006.27</v>
      </c>
      <c r="F149" s="22">
        <v>10602.36</v>
      </c>
      <c r="G149" s="22">
        <v>12425.7</v>
      </c>
      <c r="H149" s="22">
        <v>4829.1099999999997</v>
      </c>
      <c r="I149" s="22">
        <v>9839.27</v>
      </c>
      <c r="J149" s="22">
        <v>8385.56</v>
      </c>
      <c r="K149" s="22">
        <v>11078.03</v>
      </c>
      <c r="L149" s="22">
        <v>12926.11</v>
      </c>
      <c r="M149" s="22">
        <v>13127.07</v>
      </c>
      <c r="N149" s="43">
        <v>9687.83</v>
      </c>
      <c r="O149" s="42">
        <v>6301.0300000000007</v>
      </c>
      <c r="P149" s="42">
        <v>7062.1200000000008</v>
      </c>
      <c r="Q149" s="49">
        <v>9483.85</v>
      </c>
      <c r="R149" s="39">
        <v>9040.2900000000009</v>
      </c>
      <c r="S149" s="41">
        <v>4334.3899999999994</v>
      </c>
      <c r="T149" s="41">
        <v>1123.6100000000001</v>
      </c>
      <c r="U149" s="16">
        <f t="shared" si="13"/>
        <v>-3210.7799999999993</v>
      </c>
      <c r="V149" s="45">
        <f t="shared" si="14"/>
        <v>-0.74076859719591448</v>
      </c>
    </row>
    <row r="150" spans="1:22" x14ac:dyDescent="0.2">
      <c r="A150" s="3">
        <v>706200</v>
      </c>
      <c r="B150" s="3" t="s">
        <v>374</v>
      </c>
      <c r="C150" s="1">
        <v>743100</v>
      </c>
      <c r="D150" s="1" t="s">
        <v>109</v>
      </c>
      <c r="E150" s="22">
        <v>1400</v>
      </c>
      <c r="F150" s="22">
        <v>4320.13</v>
      </c>
      <c r="G150" s="22">
        <v>4439.82</v>
      </c>
      <c r="H150" s="22">
        <v>11293.79</v>
      </c>
      <c r="I150" s="22">
        <v>13433.6</v>
      </c>
      <c r="J150" s="22">
        <v>7612.52</v>
      </c>
      <c r="K150" s="22">
        <v>20420.189999999999</v>
      </c>
      <c r="L150" s="22">
        <v>36139.14</v>
      </c>
      <c r="M150" s="22">
        <v>28103.68</v>
      </c>
      <c r="N150" s="43">
        <v>21077.42</v>
      </c>
      <c r="O150" s="42">
        <v>43872.03</v>
      </c>
      <c r="P150" s="42">
        <v>28320.809999999998</v>
      </c>
      <c r="Q150" s="49">
        <v>30094.870000000003</v>
      </c>
      <c r="R150" s="39">
        <v>24130.57</v>
      </c>
      <c r="S150" s="41">
        <v>18935.940000000002</v>
      </c>
      <c r="T150" s="41">
        <v>9115.4700000000012</v>
      </c>
      <c r="U150" s="16">
        <f t="shared" si="13"/>
        <v>-9820.4700000000012</v>
      </c>
      <c r="V150" s="45">
        <f t="shared" si="14"/>
        <v>-0.51861539485232844</v>
      </c>
    </row>
    <row r="151" spans="1:22" x14ac:dyDescent="0.2">
      <c r="A151" s="3">
        <v>706200</v>
      </c>
      <c r="B151" s="3" t="s">
        <v>374</v>
      </c>
      <c r="C151" s="1">
        <v>743200</v>
      </c>
      <c r="D151" s="1" t="s">
        <v>110</v>
      </c>
      <c r="E151" s="22"/>
      <c r="F151" s="22"/>
      <c r="G151" s="22">
        <v>7385.05</v>
      </c>
      <c r="H151" s="22">
        <v>5785.9000000000005</v>
      </c>
      <c r="I151" s="22">
        <v>5400</v>
      </c>
      <c r="J151" s="22">
        <v>5400</v>
      </c>
      <c r="K151" s="22">
        <v>5900</v>
      </c>
      <c r="L151" s="22">
        <v>9050</v>
      </c>
      <c r="M151" s="22">
        <v>7975</v>
      </c>
      <c r="N151" s="43">
        <v>6000</v>
      </c>
      <c r="O151" s="42">
        <v>11000</v>
      </c>
      <c r="P151" s="42">
        <v>12512.5</v>
      </c>
      <c r="Q151" s="49">
        <v>7185</v>
      </c>
      <c r="R151" s="49"/>
      <c r="S151" s="49"/>
      <c r="T151" s="49"/>
      <c r="U151" s="16">
        <f t="shared" si="13"/>
        <v>0</v>
      </c>
      <c r="V151" s="45" t="e">
        <f t="shared" si="14"/>
        <v>#DIV/0!</v>
      </c>
    </row>
    <row r="152" spans="1:22" x14ac:dyDescent="0.2">
      <c r="A152" s="3">
        <v>706202</v>
      </c>
      <c r="B152" s="3" t="s">
        <v>375</v>
      </c>
      <c r="C152" s="1">
        <v>743300</v>
      </c>
      <c r="D152" s="1" t="s">
        <v>111</v>
      </c>
      <c r="E152" s="22">
        <v>12884.829999999998</v>
      </c>
      <c r="F152" s="22">
        <v>6589.07</v>
      </c>
      <c r="G152" s="22">
        <v>10015.870000000001</v>
      </c>
      <c r="H152" s="22">
        <v>195</v>
      </c>
      <c r="I152" s="22">
        <v>2946.7</v>
      </c>
      <c r="J152" s="22">
        <v>4662.25</v>
      </c>
      <c r="K152" s="22">
        <v>3977</v>
      </c>
      <c r="L152" s="22">
        <v>4576</v>
      </c>
      <c r="M152" s="22">
        <v>3786</v>
      </c>
      <c r="N152" s="43">
        <v>1800</v>
      </c>
      <c r="O152" s="22"/>
      <c r="P152" s="22"/>
      <c r="Q152" s="22"/>
      <c r="R152" s="39">
        <v>252.8</v>
      </c>
      <c r="S152" s="39"/>
      <c r="T152" s="39"/>
      <c r="U152" s="16">
        <f t="shared" si="13"/>
        <v>0</v>
      </c>
      <c r="V152" s="45" t="e">
        <f t="shared" si="14"/>
        <v>#DIV/0!</v>
      </c>
    </row>
    <row r="153" spans="1:22" x14ac:dyDescent="0.2">
      <c r="A153" s="3">
        <v>706203</v>
      </c>
      <c r="B153" s="3" t="s">
        <v>376</v>
      </c>
      <c r="C153" s="1">
        <v>743400</v>
      </c>
      <c r="D153" s="1" t="s">
        <v>112</v>
      </c>
      <c r="E153" s="22">
        <v>2199.75</v>
      </c>
      <c r="F153" s="22">
        <v>1715</v>
      </c>
      <c r="G153" s="22">
        <v>2713.25</v>
      </c>
      <c r="H153" s="22">
        <v>3287.8500000000004</v>
      </c>
      <c r="I153" s="22">
        <v>4191.6099999999997</v>
      </c>
      <c r="J153" s="22">
        <v>1936.95</v>
      </c>
      <c r="K153" s="22">
        <v>2030</v>
      </c>
      <c r="L153" s="22">
        <v>5623.92</v>
      </c>
      <c r="M153" s="22">
        <v>495</v>
      </c>
      <c r="N153" s="43">
        <v>2267.17</v>
      </c>
      <c r="O153" s="42">
        <v>21375.760000000002</v>
      </c>
      <c r="P153" s="42">
        <v>21157.97</v>
      </c>
      <c r="Q153" s="49">
        <v>19763.919999999998</v>
      </c>
      <c r="R153" s="39">
        <v>20268.670000000002</v>
      </c>
      <c r="S153" s="41">
        <v>4960.47</v>
      </c>
      <c r="T153" s="41">
        <v>6278.88</v>
      </c>
      <c r="U153" s="16">
        <f t="shared" si="13"/>
        <v>1318.4099999999999</v>
      </c>
      <c r="V153" s="45">
        <f t="shared" si="14"/>
        <v>0.26578328263249246</v>
      </c>
    </row>
    <row r="154" spans="1:22" x14ac:dyDescent="0.2">
      <c r="A154" s="3">
        <v>706204</v>
      </c>
      <c r="B154" s="3" t="s">
        <v>377</v>
      </c>
      <c r="C154" s="1">
        <v>743500</v>
      </c>
      <c r="D154" s="1" t="s">
        <v>113</v>
      </c>
      <c r="E154" s="22">
        <v>-208.5</v>
      </c>
      <c r="F154" s="22">
        <v>1566.13</v>
      </c>
      <c r="G154" s="22">
        <v>4906.37</v>
      </c>
      <c r="H154" s="22">
        <v>3487.85</v>
      </c>
      <c r="I154" s="22">
        <v>2118.56</v>
      </c>
      <c r="J154" s="22">
        <v>8995.15</v>
      </c>
      <c r="K154" s="22">
        <v>1680.01</v>
      </c>
      <c r="L154" s="22">
        <v>4041.46</v>
      </c>
      <c r="M154" s="22">
        <v>2649.8</v>
      </c>
      <c r="N154" s="43">
        <v>2607.96</v>
      </c>
      <c r="O154" s="42">
        <v>4566.8599999999997</v>
      </c>
      <c r="P154" s="42">
        <v>3667.96</v>
      </c>
      <c r="Q154" s="49">
        <v>15510.960000000001</v>
      </c>
      <c r="R154" s="39">
        <v>7362.1900000000005</v>
      </c>
      <c r="S154" s="41">
        <v>10229.58</v>
      </c>
      <c r="T154" s="41">
        <v>5890.15</v>
      </c>
      <c r="U154" s="16">
        <f t="shared" si="13"/>
        <v>-4339.43</v>
      </c>
      <c r="V154" s="45">
        <f t="shared" si="14"/>
        <v>-0.4242041217723504</v>
      </c>
    </row>
    <row r="155" spans="1:22" x14ac:dyDescent="0.2">
      <c r="A155" s="3">
        <v>706300</v>
      </c>
      <c r="B155" s="3" t="s">
        <v>378</v>
      </c>
      <c r="C155" s="1">
        <v>744100</v>
      </c>
      <c r="D155" s="1" t="s">
        <v>114</v>
      </c>
      <c r="E155" s="22"/>
      <c r="F155" s="22"/>
      <c r="G155" s="22">
        <v>1253.1000000000001</v>
      </c>
      <c r="H155" s="22">
        <v>985.97</v>
      </c>
      <c r="I155" s="22">
        <v>1546.8700000000001</v>
      </c>
      <c r="J155" s="22">
        <v>1082.8499999999999</v>
      </c>
      <c r="K155" s="22">
        <v>843.92000000000007</v>
      </c>
      <c r="L155" s="22">
        <v>2552.8700000000003</v>
      </c>
      <c r="M155" s="22">
        <v>1038.8400000000001</v>
      </c>
      <c r="N155" s="43">
        <v>2310.37</v>
      </c>
      <c r="O155" s="42">
        <v>2608.5300000000002</v>
      </c>
      <c r="P155" s="42">
        <v>2505.86</v>
      </c>
      <c r="Q155" s="49">
        <v>2167.46</v>
      </c>
      <c r="R155" s="49"/>
      <c r="S155" s="49"/>
      <c r="T155" s="49"/>
      <c r="U155" s="16">
        <f t="shared" si="13"/>
        <v>0</v>
      </c>
      <c r="V155" s="45" t="e">
        <f t="shared" si="14"/>
        <v>#DIV/0!</v>
      </c>
    </row>
    <row r="156" spans="1:22" x14ac:dyDescent="0.2">
      <c r="A156" s="3">
        <v>706300</v>
      </c>
      <c r="B156" s="3" t="s">
        <v>378</v>
      </c>
      <c r="C156" s="1">
        <v>744110</v>
      </c>
      <c r="D156" s="1" t="s">
        <v>115</v>
      </c>
      <c r="E156" s="22">
        <v>7623.0300000000007</v>
      </c>
      <c r="F156" s="22">
        <v>5843.3</v>
      </c>
      <c r="G156" s="22">
        <v>7714.4299999999994</v>
      </c>
      <c r="H156" s="22">
        <v>15889.390000000001</v>
      </c>
      <c r="I156" s="22">
        <v>17080.34</v>
      </c>
      <c r="J156" s="22">
        <v>19179.28</v>
      </c>
      <c r="K156" s="22">
        <v>18906.370000000003</v>
      </c>
      <c r="L156" s="22">
        <v>24925.920000000006</v>
      </c>
      <c r="M156" s="22">
        <v>19637.650000000001</v>
      </c>
      <c r="N156" s="43">
        <v>16295.460000000003</v>
      </c>
      <c r="O156" s="42">
        <v>30663.040000000005</v>
      </c>
      <c r="P156" s="42">
        <v>40177.279999999999</v>
      </c>
      <c r="Q156" s="49">
        <v>41403.700000000004</v>
      </c>
      <c r="R156" s="39">
        <v>45395.86</v>
      </c>
      <c r="S156" s="41">
        <v>36112.299999999996</v>
      </c>
      <c r="T156" s="41">
        <v>42762.340000000004</v>
      </c>
      <c r="U156" s="16">
        <f t="shared" ref="U156:U219" si="15">T156-S156</f>
        <v>6650.0400000000081</v>
      </c>
      <c r="V156" s="45">
        <f t="shared" ref="V156:V219" si="16">U156/S156</f>
        <v>0.18414889109804716</v>
      </c>
    </row>
    <row r="157" spans="1:22" x14ac:dyDescent="0.2">
      <c r="A157" s="3">
        <v>706301</v>
      </c>
      <c r="B157" s="3" t="s">
        <v>379</v>
      </c>
      <c r="C157" s="1">
        <v>744115</v>
      </c>
      <c r="D157" s="1" t="s">
        <v>116</v>
      </c>
      <c r="E157" s="22"/>
      <c r="F157" s="22"/>
      <c r="G157" s="22"/>
      <c r="H157" s="22"/>
      <c r="I157" s="22"/>
      <c r="J157" s="22"/>
      <c r="K157" s="22"/>
      <c r="L157" s="22"/>
      <c r="M157" s="22">
        <v>8113.45</v>
      </c>
      <c r="N157" s="43"/>
      <c r="O157" s="22"/>
      <c r="P157" s="22">
        <v>2500</v>
      </c>
      <c r="Q157" s="42"/>
      <c r="R157" s="42"/>
      <c r="S157" s="42"/>
      <c r="T157" s="42"/>
      <c r="U157" s="16">
        <f t="shared" si="15"/>
        <v>0</v>
      </c>
      <c r="V157" s="45" t="e">
        <f t="shared" si="16"/>
        <v>#DIV/0!</v>
      </c>
    </row>
    <row r="158" spans="1:22" x14ac:dyDescent="0.2">
      <c r="A158" s="3">
        <v>706302</v>
      </c>
      <c r="B158" s="3" t="s">
        <v>380</v>
      </c>
      <c r="C158" s="1">
        <v>744125</v>
      </c>
      <c r="D158" s="1" t="s">
        <v>117</v>
      </c>
      <c r="E158" s="22">
        <v>672</v>
      </c>
      <c r="F158" s="22">
        <v>847.4</v>
      </c>
      <c r="G158" s="22">
        <v>676.45</v>
      </c>
      <c r="H158" s="22">
        <v>979.2</v>
      </c>
      <c r="I158" s="22">
        <v>606.66</v>
      </c>
      <c r="J158" s="22">
        <v>2537.35</v>
      </c>
      <c r="K158" s="22">
        <v>1496.4</v>
      </c>
      <c r="L158" s="22">
        <v>648.85</v>
      </c>
      <c r="M158" s="22">
        <v>318.45</v>
      </c>
      <c r="N158" s="43">
        <v>1513.68</v>
      </c>
      <c r="O158" s="42">
        <v>993.95</v>
      </c>
      <c r="P158" s="42">
        <v>835.5</v>
      </c>
      <c r="Q158" s="49">
        <v>479.95</v>
      </c>
      <c r="R158" s="39">
        <v>224.95</v>
      </c>
      <c r="S158" s="41">
        <v>95</v>
      </c>
      <c r="T158" s="41">
        <v>135</v>
      </c>
      <c r="U158" s="16">
        <f t="shared" si="15"/>
        <v>40</v>
      </c>
      <c r="V158" s="45">
        <f t="shared" si="16"/>
        <v>0.42105263157894735</v>
      </c>
    </row>
    <row r="159" spans="1:22" x14ac:dyDescent="0.2">
      <c r="A159" s="3">
        <v>706400</v>
      </c>
      <c r="B159" s="3" t="s">
        <v>381</v>
      </c>
      <c r="C159" s="1">
        <v>744130</v>
      </c>
      <c r="D159" s="1" t="s">
        <v>118</v>
      </c>
      <c r="S159" s="41">
        <v>25.98</v>
      </c>
      <c r="T159" s="41"/>
      <c r="U159" s="16">
        <f t="shared" si="15"/>
        <v>-25.98</v>
      </c>
      <c r="V159" s="45">
        <f t="shared" si="16"/>
        <v>-1</v>
      </c>
    </row>
    <row r="160" spans="1:22" x14ac:dyDescent="0.2">
      <c r="A160" s="3">
        <v>706400</v>
      </c>
      <c r="B160" s="3" t="s">
        <v>381</v>
      </c>
      <c r="C160" s="1">
        <v>744135</v>
      </c>
      <c r="D160" s="1" t="s">
        <v>119</v>
      </c>
      <c r="E160" s="22"/>
      <c r="F160" s="22"/>
      <c r="G160" s="22">
        <v>699.92000000000007</v>
      </c>
      <c r="H160" s="22"/>
      <c r="I160" s="22"/>
      <c r="J160" s="22">
        <v>676.1</v>
      </c>
      <c r="K160" s="22">
        <v>1.49</v>
      </c>
      <c r="L160" s="22"/>
      <c r="M160" s="22"/>
      <c r="N160" s="22"/>
      <c r="O160" s="42">
        <v>2011.31</v>
      </c>
      <c r="P160" s="42"/>
      <c r="Q160" s="42"/>
      <c r="R160" s="42"/>
      <c r="S160" s="42"/>
      <c r="T160" s="42"/>
      <c r="U160" s="16">
        <f t="shared" si="15"/>
        <v>0</v>
      </c>
      <c r="V160" s="45" t="e">
        <f t="shared" si="16"/>
        <v>#DIV/0!</v>
      </c>
    </row>
    <row r="161" spans="1:22" x14ac:dyDescent="0.2">
      <c r="A161" s="3">
        <v>706504</v>
      </c>
      <c r="B161" s="3" t="s">
        <v>385</v>
      </c>
      <c r="C161" s="1">
        <v>744140</v>
      </c>
      <c r="D161" s="1" t="s">
        <v>120</v>
      </c>
      <c r="E161" s="22">
        <v>90</v>
      </c>
      <c r="F161" s="22">
        <v>8721.14</v>
      </c>
      <c r="G161" s="22">
        <v>2089.0500000000002</v>
      </c>
      <c r="H161" s="22">
        <v>4120</v>
      </c>
      <c r="I161" s="22">
        <v>1730</v>
      </c>
      <c r="J161" s="22">
        <v>300</v>
      </c>
      <c r="K161" s="22"/>
      <c r="L161" s="22">
        <v>68032.36</v>
      </c>
      <c r="M161" s="22">
        <v>4612.75</v>
      </c>
      <c r="N161" s="22"/>
      <c r="O161" s="22"/>
      <c r="P161" s="22">
        <v>1650</v>
      </c>
      <c r="Q161" s="49">
        <v>1155</v>
      </c>
      <c r="R161" s="49"/>
      <c r="S161" s="41">
        <v>2701.5</v>
      </c>
      <c r="T161" s="41"/>
      <c r="U161" s="16">
        <f t="shared" si="15"/>
        <v>-2701.5</v>
      </c>
      <c r="V161" s="45">
        <f t="shared" si="16"/>
        <v>-1</v>
      </c>
    </row>
    <row r="162" spans="1:22" x14ac:dyDescent="0.2">
      <c r="A162" s="3">
        <v>706700</v>
      </c>
      <c r="B162" s="3" t="s">
        <v>390</v>
      </c>
      <c r="C162" s="1">
        <v>745100</v>
      </c>
      <c r="D162" s="1" t="s">
        <v>121</v>
      </c>
      <c r="E162" s="22">
        <v>26089.65</v>
      </c>
      <c r="F162" s="22">
        <v>5444.08</v>
      </c>
      <c r="G162" s="22">
        <v>1921.95</v>
      </c>
      <c r="H162" s="22">
        <v>1216.26</v>
      </c>
      <c r="I162" s="22">
        <v>1719.62</v>
      </c>
      <c r="J162" s="22">
        <v>3252.38</v>
      </c>
      <c r="K162" s="22">
        <v>2626.85</v>
      </c>
      <c r="L162" s="22">
        <v>560.58000000000004</v>
      </c>
      <c r="M162" s="22">
        <v>1394.36</v>
      </c>
      <c r="N162" s="43">
        <v>931.36</v>
      </c>
      <c r="O162" s="42">
        <v>1216.57</v>
      </c>
      <c r="P162" s="42">
        <v>3563.16</v>
      </c>
      <c r="Q162" s="49">
        <v>1100.83</v>
      </c>
      <c r="R162" s="49"/>
      <c r="S162" s="49"/>
      <c r="T162" s="49"/>
      <c r="U162" s="16">
        <f t="shared" si="15"/>
        <v>0</v>
      </c>
      <c r="V162" s="45" t="e">
        <f t="shared" si="16"/>
        <v>#DIV/0!</v>
      </c>
    </row>
    <row r="163" spans="1:22" x14ac:dyDescent="0.2">
      <c r="A163" s="3">
        <v>706700</v>
      </c>
      <c r="B163" s="3" t="s">
        <v>390</v>
      </c>
      <c r="C163" s="57">
        <v>745101</v>
      </c>
      <c r="D163" s="57" t="s">
        <v>191</v>
      </c>
      <c r="E163" s="22">
        <v>2752.94</v>
      </c>
      <c r="F163" s="22">
        <v>3079.91</v>
      </c>
      <c r="G163" s="22"/>
      <c r="H163" s="22">
        <v>13016</v>
      </c>
      <c r="I163" s="22"/>
      <c r="J163" s="22"/>
      <c r="K163" s="22"/>
      <c r="L163" s="22"/>
      <c r="M163" s="22"/>
      <c r="N163" s="43"/>
      <c r="O163" s="22"/>
      <c r="P163" s="22">
        <v>6743</v>
      </c>
      <c r="Q163" s="49">
        <v>23239.25</v>
      </c>
      <c r="R163" s="39">
        <v>29849.68</v>
      </c>
      <c r="S163" s="41">
        <v>7481.6900000000005</v>
      </c>
      <c r="T163" s="41">
        <v>420</v>
      </c>
      <c r="U163" s="16">
        <f t="shared" si="15"/>
        <v>-7061.6900000000005</v>
      </c>
      <c r="V163" s="45">
        <f t="shared" si="16"/>
        <v>-0.94386295075043203</v>
      </c>
    </row>
    <row r="164" spans="1:22" x14ac:dyDescent="0.2">
      <c r="A164" s="3">
        <v>706605</v>
      </c>
      <c r="B164" s="3" t="s">
        <v>389</v>
      </c>
      <c r="C164" s="1">
        <v>745105</v>
      </c>
      <c r="D164" s="1" t="s">
        <v>122</v>
      </c>
      <c r="E164" s="22">
        <v>62818.749999999985</v>
      </c>
      <c r="F164" s="22">
        <v>231269.31</v>
      </c>
      <c r="G164" s="22">
        <v>335881.44</v>
      </c>
      <c r="H164" s="22">
        <v>164602.98999999996</v>
      </c>
      <c r="I164" s="22">
        <v>101731.37</v>
      </c>
      <c r="J164" s="22">
        <v>232396.91999999998</v>
      </c>
      <c r="K164" s="22">
        <v>150003.12999999998</v>
      </c>
      <c r="L164" s="22">
        <v>196298.89</v>
      </c>
      <c r="M164" s="22">
        <v>191233.67000000004</v>
      </c>
      <c r="N164" s="43">
        <v>151257.21</v>
      </c>
      <c r="O164" s="42">
        <v>217693.52999999997</v>
      </c>
      <c r="P164" s="42">
        <v>237131.28000000003</v>
      </c>
      <c r="Q164" s="49">
        <v>260984.11000000013</v>
      </c>
      <c r="R164" s="39">
        <v>152124.09999999998</v>
      </c>
      <c r="S164" s="41">
        <v>104326.20999999998</v>
      </c>
      <c r="T164" s="41">
        <v>88898.220000000016</v>
      </c>
      <c r="U164" s="16">
        <f t="shared" si="15"/>
        <v>-15427.989999999962</v>
      </c>
      <c r="V164" s="45">
        <f t="shared" si="16"/>
        <v>-0.14788220524832604</v>
      </c>
    </row>
    <row r="165" spans="1:22" x14ac:dyDescent="0.2">
      <c r="A165" s="3">
        <v>706605</v>
      </c>
      <c r="B165" s="3" t="s">
        <v>389</v>
      </c>
      <c r="C165" s="1">
        <v>745110</v>
      </c>
      <c r="D165" s="1" t="s">
        <v>123</v>
      </c>
      <c r="E165" s="22"/>
      <c r="F165" s="22"/>
      <c r="G165" s="22"/>
      <c r="H165" s="22"/>
      <c r="I165" s="22"/>
      <c r="J165" s="22">
        <v>998</v>
      </c>
      <c r="K165" s="22">
        <v>43.5</v>
      </c>
      <c r="L165" s="22"/>
      <c r="M165" s="22">
        <v>1008.4200000000001</v>
      </c>
      <c r="N165" s="43">
        <v>1576.4</v>
      </c>
      <c r="O165" s="42">
        <v>2209.8200000000002</v>
      </c>
      <c r="P165" s="42">
        <v>2010.84</v>
      </c>
      <c r="Q165" s="49">
        <v>1017.4</v>
      </c>
      <c r="R165" s="49"/>
      <c r="S165" s="49"/>
      <c r="T165" s="49"/>
      <c r="U165" s="16">
        <f t="shared" si="15"/>
        <v>0</v>
      </c>
      <c r="V165" s="45" t="e">
        <f t="shared" si="16"/>
        <v>#DIV/0!</v>
      </c>
    </row>
    <row r="166" spans="1:22" x14ac:dyDescent="0.2">
      <c r="A166" s="3">
        <v>706601</v>
      </c>
      <c r="B166" s="3" t="s">
        <v>387</v>
      </c>
      <c r="C166" s="1">
        <v>745115</v>
      </c>
      <c r="D166" s="1" t="s">
        <v>124</v>
      </c>
      <c r="E166" s="22">
        <v>3178.65</v>
      </c>
      <c r="F166" s="22"/>
      <c r="G166" s="22">
        <v>270</v>
      </c>
      <c r="H166" s="22">
        <v>1017.14</v>
      </c>
      <c r="I166" s="22">
        <v>875.59</v>
      </c>
      <c r="J166" s="22">
        <v>294.85000000000002</v>
      </c>
      <c r="K166" s="22">
        <v>815.3</v>
      </c>
      <c r="L166" s="22">
        <v>1396.11</v>
      </c>
      <c r="M166" s="22">
        <v>191.05</v>
      </c>
      <c r="N166" s="43">
        <v>1248.9000000000001</v>
      </c>
      <c r="O166" s="42">
        <v>278.05</v>
      </c>
      <c r="P166" s="42">
        <v>116.9</v>
      </c>
      <c r="Q166" s="49">
        <v>566</v>
      </c>
      <c r="R166" s="39">
        <v>680</v>
      </c>
      <c r="S166" s="41">
        <v>2499</v>
      </c>
      <c r="T166" s="41">
        <v>9658.91</v>
      </c>
      <c r="U166" s="16">
        <f t="shared" si="15"/>
        <v>7159.91</v>
      </c>
      <c r="V166" s="45">
        <f t="shared" si="16"/>
        <v>2.8651100440176069</v>
      </c>
    </row>
    <row r="167" spans="1:22" x14ac:dyDescent="0.2">
      <c r="A167" s="3">
        <v>706600</v>
      </c>
      <c r="B167" s="3" t="s">
        <v>386</v>
      </c>
      <c r="C167" s="57">
        <v>745120</v>
      </c>
      <c r="D167" s="57" t="s">
        <v>192</v>
      </c>
      <c r="E167" s="22"/>
      <c r="F167" s="22"/>
      <c r="G167" s="22"/>
      <c r="H167" s="22"/>
      <c r="I167" s="22"/>
      <c r="J167" s="22"/>
      <c r="K167" s="22"/>
      <c r="L167" s="22"/>
      <c r="M167" s="22">
        <v>4548.4800000000005</v>
      </c>
      <c r="N167" s="43">
        <v>5782.3200000000006</v>
      </c>
      <c r="O167" s="42">
        <v>10944.5</v>
      </c>
      <c r="P167" s="42">
        <v>14853.02</v>
      </c>
      <c r="Q167" s="49">
        <v>12251.93</v>
      </c>
      <c r="R167" s="39">
        <v>17491.47</v>
      </c>
      <c r="S167" s="41">
        <v>13209.15</v>
      </c>
      <c r="T167" s="41"/>
      <c r="U167" s="16">
        <f t="shared" si="15"/>
        <v>-13209.15</v>
      </c>
      <c r="V167" s="45">
        <f t="shared" si="16"/>
        <v>-1</v>
      </c>
    </row>
    <row r="168" spans="1:22" x14ac:dyDescent="0.2">
      <c r="A168" s="72">
        <v>706603</v>
      </c>
      <c r="B168" s="72" t="s">
        <v>478</v>
      </c>
      <c r="C168" s="57"/>
      <c r="D168" s="57"/>
      <c r="E168" s="22"/>
      <c r="F168" s="22"/>
      <c r="G168" s="22"/>
      <c r="H168" s="22"/>
      <c r="I168" s="22"/>
      <c r="J168" s="22"/>
      <c r="K168" s="22"/>
      <c r="L168" s="22"/>
      <c r="M168" s="22"/>
      <c r="N168" s="43"/>
      <c r="O168" s="42"/>
      <c r="P168" s="42"/>
      <c r="Q168" s="49"/>
      <c r="R168" s="39"/>
      <c r="S168" s="41">
        <v>2335</v>
      </c>
      <c r="T168" s="41"/>
      <c r="U168" s="16">
        <f t="shared" si="15"/>
        <v>-2335</v>
      </c>
      <c r="V168" s="45">
        <f t="shared" si="16"/>
        <v>-1</v>
      </c>
    </row>
    <row r="169" spans="1:22" x14ac:dyDescent="0.2">
      <c r="A169" s="3">
        <v>707001</v>
      </c>
      <c r="B169" s="3" t="s">
        <v>392</v>
      </c>
      <c r="C169" s="1">
        <v>751100</v>
      </c>
      <c r="D169" s="1" t="s">
        <v>125</v>
      </c>
      <c r="E169" s="22">
        <v>4395.2700000000004</v>
      </c>
      <c r="F169" s="22">
        <v>5285.130000000001</v>
      </c>
      <c r="G169" s="22">
        <v>2419.27</v>
      </c>
      <c r="H169" s="22">
        <v>2029.92</v>
      </c>
      <c r="I169" s="22"/>
      <c r="J169" s="22">
        <v>1614</v>
      </c>
      <c r="K169" s="22">
        <v>8967.6</v>
      </c>
      <c r="L169" s="22">
        <v>1394</v>
      </c>
      <c r="M169" s="22">
        <v>8668.7999999999993</v>
      </c>
      <c r="N169" s="43">
        <v>6266.26</v>
      </c>
      <c r="O169" s="42">
        <v>21589.4</v>
      </c>
      <c r="P169" s="42">
        <v>4650.0200000000004</v>
      </c>
      <c r="Q169" s="49">
        <v>16628.97</v>
      </c>
      <c r="R169" s="39">
        <v>7329.25</v>
      </c>
      <c r="S169" s="41">
        <v>17918.430000000008</v>
      </c>
      <c r="T169" s="41">
        <v>7639.26</v>
      </c>
      <c r="U169" s="16">
        <f t="shared" si="15"/>
        <v>-10279.170000000007</v>
      </c>
      <c r="V169" s="45">
        <f t="shared" si="16"/>
        <v>-0.57366465700398994</v>
      </c>
    </row>
    <row r="170" spans="1:22" x14ac:dyDescent="0.2">
      <c r="A170" s="3">
        <v>707002</v>
      </c>
      <c r="B170" s="3" t="s">
        <v>393</v>
      </c>
      <c r="C170" s="57">
        <v>751105</v>
      </c>
      <c r="D170" s="57" t="s">
        <v>194</v>
      </c>
      <c r="E170" s="22"/>
      <c r="F170" s="22"/>
      <c r="G170" s="22">
        <v>-700</v>
      </c>
      <c r="H170" s="22"/>
      <c r="I170" s="22"/>
      <c r="J170" s="22"/>
      <c r="K170" s="22"/>
      <c r="L170" s="22">
        <v>2217</v>
      </c>
      <c r="M170" s="22">
        <v>10564</v>
      </c>
      <c r="N170" s="43">
        <v>15397</v>
      </c>
      <c r="O170" s="42">
        <v>2680</v>
      </c>
      <c r="P170" s="42"/>
      <c r="Q170" s="42"/>
      <c r="R170" s="42"/>
      <c r="S170" s="42"/>
      <c r="T170" s="42"/>
      <c r="U170" s="16">
        <f t="shared" si="15"/>
        <v>0</v>
      </c>
      <c r="V170" s="45" t="e">
        <f t="shared" si="16"/>
        <v>#DIV/0!</v>
      </c>
    </row>
    <row r="171" spans="1:22" x14ac:dyDescent="0.2">
      <c r="A171" s="3">
        <v>707000</v>
      </c>
      <c r="B171" s="3" t="s">
        <v>391</v>
      </c>
      <c r="C171" s="1">
        <v>751110</v>
      </c>
      <c r="D171" s="1" t="s">
        <v>126</v>
      </c>
      <c r="E171" s="22">
        <v>37162.28</v>
      </c>
      <c r="F171" s="22">
        <v>2599.1800000000003</v>
      </c>
      <c r="G171" s="22">
        <v>7754.9400000000005</v>
      </c>
      <c r="H171" s="22">
        <v>50042.99</v>
      </c>
      <c r="I171" s="22">
        <v>51281.520000000004</v>
      </c>
      <c r="J171" s="22">
        <v>50333.04</v>
      </c>
      <c r="K171" s="22">
        <v>15008.54</v>
      </c>
      <c r="L171" s="22">
        <v>5390.71</v>
      </c>
      <c r="M171" s="22">
        <v>34234.69</v>
      </c>
      <c r="N171" s="43">
        <v>32359.630000000005</v>
      </c>
      <c r="O171" s="42">
        <v>13587.54</v>
      </c>
      <c r="P171" s="42">
        <v>16688.47</v>
      </c>
      <c r="Q171" s="49">
        <v>5754.16</v>
      </c>
      <c r="R171" s="39">
        <v>6775.7</v>
      </c>
      <c r="S171" s="41">
        <v>9162.08</v>
      </c>
      <c r="T171" s="41">
        <v>5340</v>
      </c>
      <c r="U171" s="16">
        <f t="shared" si="15"/>
        <v>-3822.08</v>
      </c>
      <c r="V171" s="45">
        <f t="shared" si="16"/>
        <v>-0.41716291497127289</v>
      </c>
    </row>
    <row r="172" spans="1:22" x14ac:dyDescent="0.2">
      <c r="A172" s="3">
        <v>707101</v>
      </c>
      <c r="B172" s="3" t="s">
        <v>395</v>
      </c>
      <c r="C172" s="1">
        <v>752100</v>
      </c>
      <c r="D172" s="1" t="s">
        <v>127</v>
      </c>
      <c r="E172" s="22">
        <v>30439.99</v>
      </c>
      <c r="F172" s="22">
        <v>25801.93</v>
      </c>
      <c r="G172" s="22">
        <v>24950.1</v>
      </c>
      <c r="H172" s="22">
        <v>53791.22</v>
      </c>
      <c r="I172" s="22">
        <v>38080.76</v>
      </c>
      <c r="J172" s="22">
        <v>39733.25</v>
      </c>
      <c r="K172" s="22">
        <v>10804.85</v>
      </c>
      <c r="L172" s="22">
        <v>13235</v>
      </c>
      <c r="M172" s="22">
        <v>13979.45</v>
      </c>
      <c r="N172" s="43">
        <v>59172.81</v>
      </c>
      <c r="O172" s="42">
        <v>49609.020000000004</v>
      </c>
      <c r="P172" s="42">
        <v>98733.06</v>
      </c>
      <c r="Q172" s="49">
        <v>90189.540000000008</v>
      </c>
      <c r="R172" s="39">
        <v>93963.27</v>
      </c>
      <c r="S172" s="41">
        <v>111798.69</v>
      </c>
      <c r="T172" s="41">
        <v>116553.90000000001</v>
      </c>
      <c r="U172" s="16">
        <f t="shared" si="15"/>
        <v>4755.2100000000064</v>
      </c>
      <c r="V172" s="45">
        <f t="shared" si="16"/>
        <v>4.2533682639751914E-2</v>
      </c>
    </row>
    <row r="173" spans="1:22" x14ac:dyDescent="0.2">
      <c r="A173" s="3">
        <v>707100</v>
      </c>
      <c r="B173" s="3" t="s">
        <v>394</v>
      </c>
      <c r="C173" s="1">
        <v>752105</v>
      </c>
      <c r="D173" s="1" t="s">
        <v>128</v>
      </c>
      <c r="E173" s="22">
        <v>1133</v>
      </c>
      <c r="F173" s="22">
        <v>49344.6</v>
      </c>
      <c r="G173" s="22">
        <v>50601.64</v>
      </c>
      <c r="H173" s="22">
        <v>25252.690000000002</v>
      </c>
      <c r="I173" s="22">
        <v>15470</v>
      </c>
      <c r="J173" s="22">
        <v>19767.37</v>
      </c>
      <c r="K173" s="22">
        <v>57438.94</v>
      </c>
      <c r="L173" s="22">
        <v>44328.57</v>
      </c>
      <c r="M173" s="22">
        <v>43611.76</v>
      </c>
      <c r="N173" s="43">
        <v>50045.41</v>
      </c>
      <c r="O173" s="42">
        <v>53200.55</v>
      </c>
      <c r="P173" s="42">
        <v>34710.840000000004</v>
      </c>
      <c r="Q173" s="49">
        <v>42680.11</v>
      </c>
      <c r="R173" s="39">
        <v>42370.879999999997</v>
      </c>
      <c r="S173" s="41">
        <v>46598.69</v>
      </c>
      <c r="T173" s="41">
        <v>33992.920000000006</v>
      </c>
      <c r="U173" s="16">
        <f t="shared" si="15"/>
        <v>-12605.769999999997</v>
      </c>
      <c r="V173" s="45">
        <f t="shared" si="16"/>
        <v>-0.27051769051876773</v>
      </c>
    </row>
    <row r="174" spans="1:22" x14ac:dyDescent="0.2">
      <c r="A174" s="3">
        <v>707100</v>
      </c>
      <c r="B174" s="3" t="s">
        <v>394</v>
      </c>
      <c r="C174" s="1">
        <v>752110</v>
      </c>
      <c r="D174" s="1" t="s">
        <v>129</v>
      </c>
      <c r="E174" s="22">
        <v>23528.800000000003</v>
      </c>
      <c r="F174" s="22">
        <v>16804.34</v>
      </c>
      <c r="G174" s="22">
        <v>9247.4</v>
      </c>
      <c r="H174" s="22">
        <v>6792.4</v>
      </c>
      <c r="I174" s="22">
        <v>13794.44</v>
      </c>
      <c r="J174" s="22">
        <v>14886.279999999999</v>
      </c>
      <c r="K174" s="22">
        <v>12680.52</v>
      </c>
      <c r="L174" s="22">
        <v>18299.8</v>
      </c>
      <c r="M174" s="22">
        <v>16894.060000000001</v>
      </c>
      <c r="N174" s="43">
        <v>1315.99</v>
      </c>
      <c r="O174" s="42">
        <v>1305.07</v>
      </c>
      <c r="P174" s="42">
        <v>4649.2300000000005</v>
      </c>
      <c r="Q174" s="42"/>
      <c r="R174" s="42"/>
      <c r="S174" s="42"/>
      <c r="T174" s="42"/>
      <c r="U174" s="16">
        <f t="shared" si="15"/>
        <v>0</v>
      </c>
      <c r="V174" s="45" t="e">
        <f t="shared" si="16"/>
        <v>#DIV/0!</v>
      </c>
    </row>
    <row r="175" spans="1:22" x14ac:dyDescent="0.2">
      <c r="A175" s="3">
        <v>707101</v>
      </c>
      <c r="B175" s="3" t="s">
        <v>395</v>
      </c>
      <c r="C175" s="1">
        <v>752115</v>
      </c>
      <c r="D175" s="1" t="s">
        <v>130</v>
      </c>
      <c r="E175" s="22">
        <v>6310.94</v>
      </c>
      <c r="F175" s="22">
        <v>41072.33</v>
      </c>
      <c r="G175" s="22">
        <v>19761.079999999998</v>
      </c>
      <c r="H175" s="22">
        <v>16833.309999999998</v>
      </c>
      <c r="I175" s="22">
        <v>4245.58</v>
      </c>
      <c r="J175" s="22">
        <v>8543.9399999999987</v>
      </c>
      <c r="K175" s="22">
        <v>3591.8900000000003</v>
      </c>
      <c r="L175" s="22">
        <v>6349.9400000000005</v>
      </c>
      <c r="M175" s="22">
        <v>25745.33</v>
      </c>
      <c r="N175" s="43">
        <v>3592.74</v>
      </c>
      <c r="O175" s="42">
        <v>2711.25</v>
      </c>
      <c r="P175" s="42">
        <v>4830.4400000000005</v>
      </c>
      <c r="Q175" s="49">
        <v>10780.59</v>
      </c>
      <c r="R175" s="49"/>
      <c r="S175" s="49"/>
      <c r="T175" s="49"/>
      <c r="U175" s="16">
        <f t="shared" si="15"/>
        <v>0</v>
      </c>
      <c r="V175" s="45" t="e">
        <f t="shared" si="16"/>
        <v>#DIV/0!</v>
      </c>
    </row>
    <row r="176" spans="1:22" x14ac:dyDescent="0.2">
      <c r="A176" s="3">
        <v>707153</v>
      </c>
      <c r="B176" s="3" t="s">
        <v>399</v>
      </c>
      <c r="C176" s="1">
        <v>753100</v>
      </c>
      <c r="D176" s="1" t="s">
        <v>131</v>
      </c>
      <c r="E176" s="22">
        <v>2536.16</v>
      </c>
      <c r="F176" s="22">
        <v>5241.24</v>
      </c>
      <c r="G176" s="22">
        <v>8066</v>
      </c>
      <c r="H176" s="22">
        <v>7397.97</v>
      </c>
      <c r="I176" s="22">
        <v>386.42</v>
      </c>
      <c r="J176" s="22">
        <v>760.49</v>
      </c>
      <c r="K176" s="22">
        <v>3681.64</v>
      </c>
      <c r="L176" s="22">
        <v>3086.63</v>
      </c>
      <c r="M176" s="22">
        <v>4497.24</v>
      </c>
      <c r="N176" s="43">
        <v>3076.75</v>
      </c>
      <c r="O176" s="42">
        <v>13824.3</v>
      </c>
      <c r="P176" s="42">
        <v>4717.46</v>
      </c>
      <c r="Q176" s="49">
        <v>14728.609999999999</v>
      </c>
      <c r="R176" s="39">
        <v>11085.02</v>
      </c>
      <c r="S176" s="41">
        <v>15292.74</v>
      </c>
      <c r="T176" s="41">
        <v>34389.850000000006</v>
      </c>
      <c r="U176" s="16">
        <f t="shared" si="15"/>
        <v>19097.110000000008</v>
      </c>
      <c r="V176" s="45">
        <f t="shared" si="16"/>
        <v>1.2487696776378863</v>
      </c>
    </row>
    <row r="177" spans="1:22" x14ac:dyDescent="0.2">
      <c r="A177" s="3">
        <v>707001</v>
      </c>
      <c r="B177" s="3" t="s">
        <v>392</v>
      </c>
      <c r="C177" s="1">
        <v>761100</v>
      </c>
      <c r="D177" s="1" t="s">
        <v>132</v>
      </c>
      <c r="E177" s="22">
        <v>878</v>
      </c>
      <c r="F177" s="22">
        <v>3512</v>
      </c>
      <c r="G177" s="22">
        <v>1756</v>
      </c>
      <c r="H177" s="22">
        <v>2055.9700000000003</v>
      </c>
      <c r="I177" s="22">
        <v>216.51</v>
      </c>
      <c r="J177" s="22">
        <v>657.93000000000006</v>
      </c>
      <c r="K177" s="22"/>
      <c r="L177" s="22">
        <v>439</v>
      </c>
      <c r="M177" s="22">
        <v>1317</v>
      </c>
      <c r="N177" s="22"/>
      <c r="O177" s="22"/>
      <c r="P177" s="22"/>
      <c r="Q177" s="22"/>
      <c r="R177" s="22"/>
      <c r="S177" s="22"/>
      <c r="T177" s="22"/>
      <c r="U177" s="16">
        <f t="shared" si="15"/>
        <v>0</v>
      </c>
      <c r="V177" s="45" t="e">
        <f t="shared" si="16"/>
        <v>#DIV/0!</v>
      </c>
    </row>
    <row r="178" spans="1:22" x14ac:dyDescent="0.2">
      <c r="A178" s="3">
        <v>707001</v>
      </c>
      <c r="B178" s="3" t="s">
        <v>392</v>
      </c>
      <c r="C178" s="1">
        <v>761104</v>
      </c>
      <c r="D178" s="1" t="s">
        <v>133</v>
      </c>
      <c r="E178" s="22"/>
      <c r="F178" s="22">
        <v>804.54</v>
      </c>
      <c r="G178" s="22">
        <v>1957.8600000000001</v>
      </c>
      <c r="H178" s="22">
        <v>816.85000000000014</v>
      </c>
      <c r="I178" s="22">
        <v>6.93</v>
      </c>
      <c r="J178" s="22">
        <v>230.87</v>
      </c>
      <c r="K178" s="22">
        <v>665.29000000000008</v>
      </c>
      <c r="L178" s="22">
        <v>687.63000000000011</v>
      </c>
      <c r="M178" s="22">
        <v>-61.839999999999996</v>
      </c>
      <c r="N178" s="43">
        <v>257.89</v>
      </c>
      <c r="O178" s="42">
        <v>407.88000000000005</v>
      </c>
      <c r="P178" s="42">
        <v>-139.52999999999994</v>
      </c>
      <c r="Q178" s="49">
        <v>-77.809999999999945</v>
      </c>
      <c r="R178" s="49"/>
      <c r="S178" s="49"/>
      <c r="T178" s="49"/>
      <c r="U178" s="16">
        <f t="shared" si="15"/>
        <v>0</v>
      </c>
      <c r="V178" s="45" t="e">
        <f t="shared" si="16"/>
        <v>#DIV/0!</v>
      </c>
    </row>
    <row r="179" spans="1:22" x14ac:dyDescent="0.2">
      <c r="A179" s="3">
        <v>707151</v>
      </c>
      <c r="B179" s="3" t="s">
        <v>397</v>
      </c>
      <c r="C179" s="57">
        <v>761105</v>
      </c>
      <c r="D179" s="57" t="s">
        <v>195</v>
      </c>
      <c r="E179" s="22"/>
      <c r="F179" s="22">
        <v>8821.59</v>
      </c>
      <c r="G179" s="22">
        <v>4135.93</v>
      </c>
      <c r="H179" s="22">
        <v>39.450000000000003</v>
      </c>
      <c r="I179" s="22"/>
      <c r="J179" s="22"/>
      <c r="K179" s="22"/>
      <c r="L179" s="22"/>
      <c r="M179" s="22"/>
      <c r="N179" s="43"/>
      <c r="O179" s="22"/>
      <c r="P179" s="22"/>
      <c r="Q179" s="22"/>
      <c r="R179" s="22"/>
      <c r="S179" s="22"/>
      <c r="T179" s="22"/>
      <c r="U179" s="16">
        <f t="shared" si="15"/>
        <v>0</v>
      </c>
      <c r="V179" s="45" t="e">
        <f t="shared" si="16"/>
        <v>#DIV/0!</v>
      </c>
    </row>
    <row r="180" spans="1:22" x14ac:dyDescent="0.2">
      <c r="A180" s="3">
        <v>707150</v>
      </c>
      <c r="B180" s="3" t="s">
        <v>396</v>
      </c>
      <c r="C180" s="1">
        <v>763105</v>
      </c>
      <c r="D180" s="1" t="s">
        <v>134</v>
      </c>
      <c r="E180" s="22">
        <v>3943.2200000000003</v>
      </c>
      <c r="F180" s="22">
        <v>5942.59</v>
      </c>
      <c r="G180" s="22">
        <v>6173.6900000000005</v>
      </c>
      <c r="H180" s="22">
        <v>7023.01</v>
      </c>
      <c r="I180" s="22">
        <v>10931.92</v>
      </c>
      <c r="J180" s="22">
        <v>6575.44</v>
      </c>
      <c r="K180" s="22">
        <v>10088.98</v>
      </c>
      <c r="L180" s="22">
        <v>2626.62</v>
      </c>
      <c r="M180" s="22">
        <v>6557.33</v>
      </c>
      <c r="N180" s="43">
        <v>3808.9900000000002</v>
      </c>
      <c r="O180" s="42">
        <v>4187.17</v>
      </c>
      <c r="P180" s="42"/>
      <c r="Q180" s="42"/>
      <c r="R180" s="39">
        <v>875.59</v>
      </c>
      <c r="S180" s="41">
        <v>1856.81</v>
      </c>
      <c r="T180" s="41">
        <v>504.25</v>
      </c>
      <c r="U180" s="16">
        <f t="shared" si="15"/>
        <v>-1352.56</v>
      </c>
      <c r="V180" s="45">
        <f t="shared" si="16"/>
        <v>-0.72843209590642011</v>
      </c>
    </row>
    <row r="181" spans="1:22" x14ac:dyDescent="0.2">
      <c r="A181" s="3">
        <v>707153</v>
      </c>
      <c r="B181" s="3" t="s">
        <v>399</v>
      </c>
      <c r="C181" s="1">
        <v>764100</v>
      </c>
      <c r="D181" s="1" t="s">
        <v>135</v>
      </c>
      <c r="E181" s="22">
        <v>1860.8799999999999</v>
      </c>
      <c r="F181" s="22">
        <v>2758.8500000000004</v>
      </c>
      <c r="G181" s="22">
        <v>927.24</v>
      </c>
      <c r="H181" s="22">
        <v>4206.12</v>
      </c>
      <c r="I181" s="22">
        <v>2190.7199999999998</v>
      </c>
      <c r="J181" s="22">
        <v>2056.56</v>
      </c>
      <c r="K181" s="22">
        <v>2246.5700000000002</v>
      </c>
      <c r="L181" s="22">
        <v>1025.2600000000002</v>
      </c>
      <c r="M181" s="22">
        <v>673.34</v>
      </c>
      <c r="N181" s="43">
        <v>13.21</v>
      </c>
      <c r="O181" s="42">
        <v>14.6</v>
      </c>
      <c r="P181" s="42"/>
      <c r="Q181" s="42"/>
      <c r="R181" s="42"/>
      <c r="S181" s="42"/>
      <c r="T181" s="42"/>
      <c r="U181" s="16">
        <f t="shared" si="15"/>
        <v>0</v>
      </c>
      <c r="V181" s="45" t="e">
        <f t="shared" si="16"/>
        <v>#DIV/0!</v>
      </c>
    </row>
    <row r="182" spans="1:22" x14ac:dyDescent="0.2">
      <c r="A182" s="3">
        <v>707152</v>
      </c>
      <c r="B182" s="3" t="s">
        <v>398</v>
      </c>
      <c r="C182" s="1">
        <v>764104</v>
      </c>
      <c r="D182" s="1" t="s">
        <v>136</v>
      </c>
      <c r="E182" s="22">
        <v>19838.09</v>
      </c>
      <c r="F182" s="22">
        <v>21212.2</v>
      </c>
      <c r="G182" s="22">
        <v>30188.97</v>
      </c>
      <c r="H182" s="22">
        <v>41224.339999999997</v>
      </c>
      <c r="I182" s="22">
        <v>33160.450000000004</v>
      </c>
      <c r="J182" s="22">
        <v>25022.73</v>
      </c>
      <c r="K182" s="22">
        <v>24954.35</v>
      </c>
      <c r="L182" s="22">
        <v>24639.220000000005</v>
      </c>
      <c r="M182" s="22">
        <v>23479</v>
      </c>
      <c r="N182" s="43">
        <v>25429.599999999999</v>
      </c>
      <c r="O182" s="42">
        <v>24347.460000000003</v>
      </c>
      <c r="P182" s="42">
        <v>22611.17</v>
      </c>
      <c r="Q182" s="49">
        <v>19735.060000000001</v>
      </c>
      <c r="R182" s="39">
        <v>12665.46</v>
      </c>
      <c r="S182" s="41">
        <v>13110.8</v>
      </c>
      <c r="T182" s="41">
        <v>17349.870000000003</v>
      </c>
      <c r="U182" s="16">
        <f t="shared" si="15"/>
        <v>4239.0700000000033</v>
      </c>
      <c r="V182" s="45">
        <f t="shared" si="16"/>
        <v>0.32332657046099428</v>
      </c>
    </row>
    <row r="183" spans="1:22" x14ac:dyDescent="0.2">
      <c r="A183" s="3">
        <v>707151</v>
      </c>
      <c r="B183" s="3" t="s">
        <v>397</v>
      </c>
      <c r="C183" s="1">
        <v>764110</v>
      </c>
      <c r="D183" s="1" t="s">
        <v>137</v>
      </c>
      <c r="E183" s="22">
        <v>45978.049999999996</v>
      </c>
      <c r="F183" s="22">
        <v>49955.26999999999</v>
      </c>
      <c r="G183" s="22">
        <v>48897.159999999989</v>
      </c>
      <c r="H183" s="22">
        <v>40847.000000000022</v>
      </c>
      <c r="I183" s="22">
        <v>39164.94999999999</v>
      </c>
      <c r="J183" s="22">
        <v>39431.099999999984</v>
      </c>
      <c r="K183" s="22">
        <v>41104.029999999977</v>
      </c>
      <c r="L183" s="22">
        <v>41237.140000000007</v>
      </c>
      <c r="M183" s="22">
        <v>41092.999999999985</v>
      </c>
      <c r="N183" s="43">
        <v>41819.75</v>
      </c>
      <c r="O183" s="42">
        <v>42055.6</v>
      </c>
      <c r="P183" s="42">
        <v>34888.639999999978</v>
      </c>
      <c r="Q183" s="49">
        <v>32980.589999999997</v>
      </c>
      <c r="R183" s="39">
        <v>36160.640000000007</v>
      </c>
      <c r="S183" s="41">
        <v>35842.500000000015</v>
      </c>
      <c r="T183" s="41">
        <v>36005.21</v>
      </c>
      <c r="U183" s="16">
        <f t="shared" si="15"/>
        <v>162.70999999998457</v>
      </c>
      <c r="V183" s="45">
        <f t="shared" si="16"/>
        <v>4.5395828973979081E-3</v>
      </c>
    </row>
    <row r="184" spans="1:22" x14ac:dyDescent="0.2">
      <c r="A184" s="3">
        <v>707151</v>
      </c>
      <c r="B184" s="3" t="s">
        <v>397</v>
      </c>
      <c r="C184" s="1">
        <v>764120</v>
      </c>
      <c r="D184" s="1" t="s">
        <v>138</v>
      </c>
      <c r="E184" s="22">
        <v>5583.8899999999994</v>
      </c>
      <c r="F184" s="22">
        <v>4380.9300000000012</v>
      </c>
      <c r="G184" s="22">
        <v>4161.41</v>
      </c>
      <c r="H184" s="22">
        <v>4003.8200000000006</v>
      </c>
      <c r="I184" s="22">
        <v>4549.0300000000007</v>
      </c>
      <c r="J184" s="22">
        <v>3675.1600000000012</v>
      </c>
      <c r="K184" s="22">
        <v>3929.5100000000007</v>
      </c>
      <c r="L184" s="22">
        <v>4030.2600000000011</v>
      </c>
      <c r="M184" s="22">
        <v>3029.6200000000013</v>
      </c>
      <c r="N184" s="43">
        <v>3438.47</v>
      </c>
      <c r="O184" s="42">
        <v>2487.2800000000007</v>
      </c>
      <c r="P184" s="42">
        <v>1741.7600000000002</v>
      </c>
      <c r="Q184" s="49">
        <v>1580.8700000000008</v>
      </c>
      <c r="R184" s="49"/>
      <c r="S184" s="49"/>
      <c r="T184" s="49"/>
      <c r="U184" s="16">
        <f t="shared" si="15"/>
        <v>0</v>
      </c>
      <c r="V184" s="45" t="e">
        <f t="shared" si="16"/>
        <v>#DIV/0!</v>
      </c>
    </row>
    <row r="185" spans="1:22" x14ac:dyDescent="0.2">
      <c r="C185" s="1">
        <v>764130</v>
      </c>
      <c r="D185" s="1" t="s">
        <v>139</v>
      </c>
      <c r="E185" s="22">
        <v>224.00000000000006</v>
      </c>
      <c r="F185" s="22"/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16">
        <f t="shared" si="15"/>
        <v>0</v>
      </c>
      <c r="V185" s="45" t="e">
        <f t="shared" si="16"/>
        <v>#DIV/0!</v>
      </c>
    </row>
    <row r="186" spans="1:22" x14ac:dyDescent="0.2">
      <c r="A186" s="3">
        <v>707151</v>
      </c>
      <c r="B186" s="3" t="s">
        <v>397</v>
      </c>
      <c r="C186" s="1">
        <v>764140</v>
      </c>
      <c r="D186" s="1" t="s">
        <v>140</v>
      </c>
      <c r="E186" s="22"/>
      <c r="F186" s="22"/>
      <c r="G186" s="22"/>
      <c r="H186" s="22"/>
      <c r="I186" s="22"/>
      <c r="J186" s="22">
        <v>9.6</v>
      </c>
      <c r="K186" s="22">
        <v>15.84</v>
      </c>
      <c r="L186" s="22"/>
      <c r="M186" s="22"/>
      <c r="N186" s="43">
        <v>48.269999999999996</v>
      </c>
      <c r="O186" s="42">
        <v>64.77000000000001</v>
      </c>
      <c r="P186" s="42">
        <v>172.89</v>
      </c>
      <c r="Q186" s="49">
        <v>129</v>
      </c>
      <c r="R186" s="49"/>
      <c r="S186" s="49"/>
      <c r="T186" s="49"/>
      <c r="U186" s="16">
        <f t="shared" si="15"/>
        <v>0</v>
      </c>
      <c r="V186" s="45" t="e">
        <f t="shared" si="16"/>
        <v>#DIV/0!</v>
      </c>
    </row>
    <row r="187" spans="1:22" x14ac:dyDescent="0.2">
      <c r="A187" s="3">
        <v>707300</v>
      </c>
      <c r="B187" s="3" t="s">
        <v>401</v>
      </c>
      <c r="C187" s="1">
        <v>771100</v>
      </c>
      <c r="D187" s="1" t="s">
        <v>141</v>
      </c>
      <c r="E187" s="22">
        <v>88726.950000000012</v>
      </c>
      <c r="F187" s="22">
        <v>97205.809999999983</v>
      </c>
      <c r="G187" s="22">
        <v>74460.23000000001</v>
      </c>
      <c r="H187" s="22">
        <v>22185.510000000002</v>
      </c>
      <c r="I187" s="22">
        <v>37215.800000000003</v>
      </c>
      <c r="J187" s="22">
        <v>25104.78</v>
      </c>
      <c r="K187" s="22">
        <v>20828.3</v>
      </c>
      <c r="L187" s="22">
        <v>28263.990000000005</v>
      </c>
      <c r="M187" s="22">
        <v>26072.42</v>
      </c>
      <c r="N187" s="43">
        <v>813.52000000000044</v>
      </c>
      <c r="O187" s="42">
        <v>3603.6299999999997</v>
      </c>
      <c r="P187" s="42">
        <v>6647.2099999999991</v>
      </c>
      <c r="Q187" s="49">
        <v>14102.35</v>
      </c>
      <c r="R187" s="49"/>
      <c r="S187" s="49"/>
      <c r="T187" s="49"/>
      <c r="U187" s="16">
        <f t="shared" si="15"/>
        <v>0</v>
      </c>
      <c r="V187" s="45" t="e">
        <f t="shared" si="16"/>
        <v>#DIV/0!</v>
      </c>
    </row>
    <row r="188" spans="1:22" x14ac:dyDescent="0.2">
      <c r="A188" s="3">
        <v>707300</v>
      </c>
      <c r="B188" s="3" t="s">
        <v>401</v>
      </c>
      <c r="C188" s="1">
        <v>771105</v>
      </c>
      <c r="D188" s="1" t="s">
        <v>142</v>
      </c>
      <c r="U188" s="16">
        <f t="shared" si="15"/>
        <v>0</v>
      </c>
      <c r="V188" s="45" t="e">
        <f t="shared" si="16"/>
        <v>#DIV/0!</v>
      </c>
    </row>
    <row r="189" spans="1:22" x14ac:dyDescent="0.2">
      <c r="A189" s="3">
        <v>707300</v>
      </c>
      <c r="B189" s="3" t="s">
        <v>401</v>
      </c>
      <c r="C189" s="1">
        <v>771110</v>
      </c>
      <c r="D189" s="1" t="s">
        <v>143</v>
      </c>
      <c r="E189" s="22">
        <v>3341.17</v>
      </c>
      <c r="F189" s="22">
        <v>3425.12</v>
      </c>
      <c r="G189" s="22">
        <v>4095.9199999999996</v>
      </c>
      <c r="H189" s="22">
        <v>75659.06</v>
      </c>
      <c r="I189" s="22">
        <v>70275.539999999994</v>
      </c>
      <c r="J189" s="22">
        <v>85610.22</v>
      </c>
      <c r="K189" s="22">
        <v>83456.160000000018</v>
      </c>
      <c r="L189" s="22">
        <v>73620.09</v>
      </c>
      <c r="M189" s="22">
        <v>71168.289999999994</v>
      </c>
      <c r="N189" s="43">
        <v>62986.079999999994</v>
      </c>
      <c r="O189" s="42">
        <v>75154.28</v>
      </c>
      <c r="P189" s="42">
        <v>66628.300000000017</v>
      </c>
      <c r="Q189" s="49">
        <v>67079.95</v>
      </c>
      <c r="R189" s="39">
        <v>91948.57</v>
      </c>
      <c r="S189" s="41">
        <v>54760.519999999982</v>
      </c>
      <c r="T189" s="41">
        <v>35169.649999999994</v>
      </c>
      <c r="U189" s="16">
        <f t="shared" si="15"/>
        <v>-19590.869999999988</v>
      </c>
      <c r="V189" s="45">
        <f t="shared" si="16"/>
        <v>-0.35775536828357352</v>
      </c>
    </row>
    <row r="190" spans="1:22" x14ac:dyDescent="0.2">
      <c r="A190" s="3">
        <v>707200</v>
      </c>
      <c r="B190" s="3" t="s">
        <v>400</v>
      </c>
      <c r="C190" s="1">
        <v>771115</v>
      </c>
      <c r="D190" s="1" t="s">
        <v>144</v>
      </c>
      <c r="E190" s="22">
        <v>53844.5</v>
      </c>
      <c r="F190" s="22">
        <v>59445.07</v>
      </c>
      <c r="G190" s="22">
        <v>49959.29</v>
      </c>
      <c r="H190" s="22">
        <v>31498.48</v>
      </c>
      <c r="I190" s="22">
        <v>1786.37</v>
      </c>
      <c r="J190" s="22">
        <v>2375.7200000000003</v>
      </c>
      <c r="K190" s="22">
        <v>2156</v>
      </c>
      <c r="L190" s="22">
        <v>36920</v>
      </c>
      <c r="M190" s="22">
        <v>27745.98</v>
      </c>
      <c r="N190" s="43">
        <v>38110</v>
      </c>
      <c r="O190" s="22"/>
      <c r="P190" s="22">
        <v>28215</v>
      </c>
      <c r="Q190" s="49">
        <v>34950</v>
      </c>
      <c r="R190" s="39">
        <v>37620</v>
      </c>
      <c r="S190" s="41">
        <v>43920</v>
      </c>
      <c r="T190" s="41">
        <v>197.71</v>
      </c>
      <c r="U190" s="16">
        <f t="shared" si="15"/>
        <v>-43722.29</v>
      </c>
      <c r="V190" s="45">
        <f t="shared" si="16"/>
        <v>-0.99549840619307839</v>
      </c>
    </row>
    <row r="191" spans="1:22" x14ac:dyDescent="0.2">
      <c r="A191" s="3">
        <v>707306</v>
      </c>
      <c r="B191" s="3" t="s">
        <v>406</v>
      </c>
      <c r="C191" s="1">
        <v>772100</v>
      </c>
      <c r="D191" s="1" t="s">
        <v>145</v>
      </c>
      <c r="E191" s="22">
        <v>4911.43</v>
      </c>
      <c r="F191" s="22">
        <v>4655.28</v>
      </c>
      <c r="G191" s="22">
        <v>2201.0100000000002</v>
      </c>
      <c r="H191" s="22">
        <v>11956.16</v>
      </c>
      <c r="I191" s="22">
        <v>10102.6</v>
      </c>
      <c r="J191" s="22">
        <v>4578.2700000000004</v>
      </c>
      <c r="K191" s="22">
        <v>7150.32</v>
      </c>
      <c r="L191" s="22">
        <v>19277.420000000002</v>
      </c>
      <c r="M191" s="22">
        <v>23187.679999999997</v>
      </c>
      <c r="N191" s="43">
        <v>4390.71</v>
      </c>
      <c r="O191" s="42">
        <v>19475.63</v>
      </c>
      <c r="P191" s="42">
        <v>21818.59</v>
      </c>
      <c r="Q191" s="49">
        <v>27774.960000000003</v>
      </c>
      <c r="R191" s="39">
        <v>181210.61</v>
      </c>
      <c r="S191" s="41">
        <v>221081.85</v>
      </c>
      <c r="T191" s="41">
        <v>124714.31</v>
      </c>
      <c r="U191" s="16">
        <f t="shared" si="15"/>
        <v>-96367.540000000008</v>
      </c>
      <c r="V191" s="45">
        <f t="shared" si="16"/>
        <v>-0.43589077981752011</v>
      </c>
    </row>
    <row r="192" spans="1:22" x14ac:dyDescent="0.2">
      <c r="A192" s="3">
        <v>702201</v>
      </c>
      <c r="B192" s="3" t="s">
        <v>443</v>
      </c>
      <c r="C192" s="1">
        <v>772105</v>
      </c>
      <c r="D192" s="1" t="s">
        <v>146</v>
      </c>
      <c r="E192" s="22">
        <v>13</v>
      </c>
      <c r="F192" s="22">
        <v>7.5</v>
      </c>
      <c r="G192" s="22"/>
      <c r="H192" s="22"/>
      <c r="I192" s="22"/>
      <c r="J192" s="22"/>
      <c r="K192" s="22"/>
      <c r="L192" s="22">
        <v>4857.8100000000004</v>
      </c>
      <c r="M192" s="22">
        <v>4931.17</v>
      </c>
      <c r="N192" s="43"/>
      <c r="O192" s="22"/>
      <c r="P192" s="22"/>
      <c r="Q192" s="22"/>
      <c r="R192" s="22"/>
      <c r="S192" s="22"/>
      <c r="T192" s="22"/>
      <c r="U192" s="16">
        <f t="shared" si="15"/>
        <v>0</v>
      </c>
      <c r="V192" s="45" t="e">
        <f t="shared" si="16"/>
        <v>#DIV/0!</v>
      </c>
    </row>
    <row r="193" spans="1:22" x14ac:dyDescent="0.2">
      <c r="A193" s="3">
        <v>707305</v>
      </c>
      <c r="B193" s="3" t="s">
        <v>405</v>
      </c>
      <c r="C193" s="57">
        <v>772110</v>
      </c>
      <c r="D193" s="57" t="s">
        <v>278</v>
      </c>
      <c r="E193" s="22">
        <v>4158.1000000000004</v>
      </c>
      <c r="F193" s="22">
        <v>3033.66</v>
      </c>
      <c r="G193" s="22">
        <v>2396.2400000000002</v>
      </c>
      <c r="H193" s="22">
        <v>7271.26</v>
      </c>
      <c r="I193" s="22">
        <v>13166.36</v>
      </c>
      <c r="J193" s="22">
        <v>10115.08</v>
      </c>
      <c r="K193" s="22">
        <v>12267.69</v>
      </c>
      <c r="L193" s="22">
        <v>11237.460000000001</v>
      </c>
      <c r="M193" s="22"/>
      <c r="N193" s="43">
        <v>9820.31</v>
      </c>
      <c r="O193" s="42">
        <v>6907.37</v>
      </c>
      <c r="P193" s="42">
        <v>2532.92</v>
      </c>
      <c r="Q193" s="49">
        <v>3315.87</v>
      </c>
      <c r="R193" s="39">
        <v>2611.9900000000002</v>
      </c>
      <c r="S193" s="41">
        <v>1869.7</v>
      </c>
      <c r="T193" s="41"/>
      <c r="U193" s="16">
        <f t="shared" si="15"/>
        <v>-1869.7</v>
      </c>
      <c r="V193" s="45">
        <f t="shared" si="16"/>
        <v>-1</v>
      </c>
    </row>
    <row r="194" spans="1:22" x14ac:dyDescent="0.2">
      <c r="A194" s="3">
        <v>707502</v>
      </c>
      <c r="B194" s="3" t="s">
        <v>444</v>
      </c>
      <c r="C194" s="1">
        <v>772115</v>
      </c>
      <c r="D194" s="1" t="s">
        <v>147</v>
      </c>
      <c r="E194" s="22">
        <v>8362.3099999999977</v>
      </c>
      <c r="F194" s="22">
        <v>21623.31</v>
      </c>
      <c r="G194" s="22">
        <v>31203.660000000003</v>
      </c>
      <c r="H194" s="22">
        <v>9315.5</v>
      </c>
      <c r="I194" s="22">
        <v>339.99</v>
      </c>
      <c r="J194" s="22">
        <v>10983.09</v>
      </c>
      <c r="K194" s="22">
        <v>2820.48</v>
      </c>
      <c r="L194" s="22">
        <v>6085.1900000000005</v>
      </c>
      <c r="M194" s="22">
        <v>7949.37</v>
      </c>
      <c r="N194" s="43">
        <v>6002.17</v>
      </c>
      <c r="O194" s="42">
        <v>31083.900000000005</v>
      </c>
      <c r="P194" s="42">
        <v>19811.75</v>
      </c>
      <c r="Q194" s="49">
        <v>7869</v>
      </c>
      <c r="R194" s="39">
        <v>4783</v>
      </c>
      <c r="S194" s="39"/>
      <c r="T194" s="39"/>
      <c r="U194" s="16">
        <f t="shared" si="15"/>
        <v>0</v>
      </c>
      <c r="V194" s="45" t="e">
        <f t="shared" si="16"/>
        <v>#DIV/0!</v>
      </c>
    </row>
    <row r="195" spans="1:22" x14ac:dyDescent="0.2">
      <c r="A195" s="3">
        <v>706501</v>
      </c>
      <c r="B195" s="3" t="s">
        <v>382</v>
      </c>
      <c r="C195" s="1">
        <v>772116</v>
      </c>
      <c r="D195" s="1" t="s">
        <v>148</v>
      </c>
      <c r="E195" s="22">
        <v>835</v>
      </c>
      <c r="F195" s="22">
        <v>450</v>
      </c>
      <c r="G195" s="22"/>
      <c r="H195" s="22"/>
      <c r="I195" s="22"/>
      <c r="J195" s="22">
        <v>2008.39</v>
      </c>
      <c r="K195" s="22">
        <v>10320.17</v>
      </c>
      <c r="L195" s="22">
        <v>3292.62</v>
      </c>
      <c r="M195" s="22"/>
      <c r="N195" s="22"/>
      <c r="O195" s="22"/>
      <c r="P195" s="22"/>
      <c r="Q195" s="22"/>
      <c r="R195" s="39">
        <v>3141.6</v>
      </c>
      <c r="S195" s="39"/>
      <c r="T195" s="39"/>
      <c r="U195" s="16">
        <f t="shared" si="15"/>
        <v>0</v>
      </c>
      <c r="V195" s="45" t="e">
        <f t="shared" si="16"/>
        <v>#DIV/0!</v>
      </c>
    </row>
    <row r="196" spans="1:22" x14ac:dyDescent="0.2">
      <c r="A196" s="3">
        <v>706502</v>
      </c>
      <c r="B196" s="3" t="s">
        <v>383</v>
      </c>
      <c r="C196" s="1">
        <v>772117</v>
      </c>
      <c r="D196" s="1" t="s">
        <v>149</v>
      </c>
      <c r="E196" s="22">
        <v>24685.08</v>
      </c>
      <c r="F196" s="22">
        <v>15077.79</v>
      </c>
      <c r="G196" s="22">
        <v>20203.230000000003</v>
      </c>
      <c r="H196" s="22">
        <v>23030.769999999997</v>
      </c>
      <c r="I196" s="22"/>
      <c r="J196" s="22">
        <v>7200</v>
      </c>
      <c r="K196" s="22">
        <v>10785.960000000001</v>
      </c>
      <c r="L196" s="22">
        <v>31070.79</v>
      </c>
      <c r="M196" s="22">
        <v>10054.35</v>
      </c>
      <c r="N196" s="43">
        <v>308</v>
      </c>
      <c r="O196" s="42">
        <v>65302.05</v>
      </c>
      <c r="P196" s="42">
        <v>13653.05</v>
      </c>
      <c r="Q196" s="49">
        <v>22457.39</v>
      </c>
      <c r="R196" s="39">
        <v>3853.7300000000005</v>
      </c>
      <c r="S196" s="41">
        <v>1426.5</v>
      </c>
      <c r="T196" s="41">
        <v>18000</v>
      </c>
      <c r="U196" s="16">
        <f t="shared" si="15"/>
        <v>16573.5</v>
      </c>
      <c r="V196" s="45">
        <f t="shared" si="16"/>
        <v>11.618296529968454</v>
      </c>
    </row>
    <row r="197" spans="1:22" x14ac:dyDescent="0.2">
      <c r="A197" s="3">
        <v>707301</v>
      </c>
      <c r="B197" s="3" t="s">
        <v>402</v>
      </c>
      <c r="C197" s="1">
        <v>772120</v>
      </c>
      <c r="D197" s="1" t="s">
        <v>150</v>
      </c>
      <c r="E197" s="22">
        <v>2570.39</v>
      </c>
      <c r="F197" s="22">
        <v>3657.4500000000003</v>
      </c>
      <c r="G197" s="22">
        <v>3218.41</v>
      </c>
      <c r="H197" s="22">
        <v>2277.4300000000003</v>
      </c>
      <c r="I197" s="22">
        <v>1567.0200000000002</v>
      </c>
      <c r="J197" s="22">
        <v>1218.6099999999999</v>
      </c>
      <c r="K197" s="22">
        <v>2106</v>
      </c>
      <c r="L197" s="22">
        <v>2710.8600000000006</v>
      </c>
      <c r="M197" s="22">
        <v>6444.7900000000009</v>
      </c>
      <c r="N197" s="43">
        <v>47193.359999999993</v>
      </c>
      <c r="O197" s="42">
        <v>65008.499999999993</v>
      </c>
      <c r="P197" s="42">
        <v>51526.239999999991</v>
      </c>
      <c r="Q197" s="49">
        <v>47914.98</v>
      </c>
      <c r="R197" s="39">
        <v>83084.41</v>
      </c>
      <c r="S197" s="41">
        <v>81200.180000000008</v>
      </c>
      <c r="T197" s="41">
        <v>26653.460000000003</v>
      </c>
      <c r="U197" s="16">
        <f t="shared" si="15"/>
        <v>-54546.720000000001</v>
      </c>
      <c r="V197" s="45">
        <f t="shared" si="16"/>
        <v>-0.67175614635337011</v>
      </c>
    </row>
    <row r="198" spans="1:22" x14ac:dyDescent="0.2">
      <c r="A198" s="3">
        <v>702200</v>
      </c>
      <c r="B198" s="3" t="s">
        <v>74</v>
      </c>
      <c r="C198" s="1">
        <v>772125</v>
      </c>
      <c r="D198" s="1" t="s">
        <v>151</v>
      </c>
      <c r="U198" s="16">
        <f t="shared" si="15"/>
        <v>0</v>
      </c>
      <c r="V198" s="45" t="e">
        <f t="shared" si="16"/>
        <v>#DIV/0!</v>
      </c>
    </row>
    <row r="199" spans="1:22" x14ac:dyDescent="0.2">
      <c r="A199" s="3">
        <v>707304</v>
      </c>
      <c r="B199" s="3" t="s">
        <v>404</v>
      </c>
      <c r="C199" s="1">
        <v>772135</v>
      </c>
      <c r="D199" s="1" t="s">
        <v>152</v>
      </c>
      <c r="E199" s="22">
        <v>7572.24</v>
      </c>
      <c r="F199" s="22">
        <v>10931.880000000003</v>
      </c>
      <c r="G199" s="22">
        <v>15107.64</v>
      </c>
      <c r="H199" s="22">
        <v>14686.95</v>
      </c>
      <c r="I199" s="22">
        <v>22948</v>
      </c>
      <c r="J199" s="22">
        <v>16320.09</v>
      </c>
      <c r="K199" s="22">
        <v>44216.400000000009</v>
      </c>
      <c r="L199" s="22">
        <v>32237.500000000004</v>
      </c>
      <c r="M199" s="22">
        <v>29354.610000000004</v>
      </c>
      <c r="N199" s="43">
        <v>32495.27</v>
      </c>
      <c r="O199" s="42">
        <v>22130.45</v>
      </c>
      <c r="P199" s="42">
        <v>17395.39</v>
      </c>
      <c r="Q199" s="49">
        <v>15568.61</v>
      </c>
      <c r="R199" s="39">
        <v>8516.2199999999993</v>
      </c>
      <c r="S199" s="41">
        <v>26077.29</v>
      </c>
      <c r="T199" s="41">
        <v>8333.23</v>
      </c>
      <c r="U199" s="16">
        <f t="shared" si="15"/>
        <v>-17744.060000000001</v>
      </c>
      <c r="V199" s="45">
        <f t="shared" si="16"/>
        <v>-0.68044110411779757</v>
      </c>
    </row>
    <row r="200" spans="1:22" x14ac:dyDescent="0.2">
      <c r="A200" s="3">
        <v>707309</v>
      </c>
      <c r="B200" s="3" t="s">
        <v>408</v>
      </c>
      <c r="C200" s="1">
        <v>772140</v>
      </c>
      <c r="D200" s="1" t="s">
        <v>153</v>
      </c>
      <c r="E200" s="22">
        <v>14171.360000000002</v>
      </c>
      <c r="F200" s="22">
        <v>23070.14</v>
      </c>
      <c r="G200" s="22">
        <v>23181.579999999994</v>
      </c>
      <c r="H200" s="22">
        <v>16091.270000000002</v>
      </c>
      <c r="I200" s="22">
        <v>29072.480000000003</v>
      </c>
      <c r="J200" s="22">
        <v>29548.070000000007</v>
      </c>
      <c r="K200" s="22">
        <v>45402.429999999993</v>
      </c>
      <c r="L200" s="22">
        <v>48496.960000000028</v>
      </c>
      <c r="M200" s="22">
        <v>45427.770000000011</v>
      </c>
      <c r="N200" s="43">
        <v>57397.970000000008</v>
      </c>
      <c r="O200" s="42">
        <v>29820.959999999995</v>
      </c>
      <c r="P200" s="42">
        <v>26907.47</v>
      </c>
      <c r="Q200" s="49">
        <v>30513.320000000003</v>
      </c>
      <c r="R200" s="39">
        <v>66016.850000000006</v>
      </c>
      <c r="S200" s="41">
        <v>65133.85</v>
      </c>
      <c r="T200" s="41">
        <v>97338.42</v>
      </c>
      <c r="U200" s="16">
        <f t="shared" si="15"/>
        <v>32204.57</v>
      </c>
      <c r="V200" s="45">
        <f t="shared" si="16"/>
        <v>0.49443676367971495</v>
      </c>
    </row>
    <row r="201" spans="1:22" x14ac:dyDescent="0.2">
      <c r="A201" s="3">
        <v>707309</v>
      </c>
      <c r="B201" s="3" t="s">
        <v>408</v>
      </c>
      <c r="C201" s="57">
        <v>772145</v>
      </c>
      <c r="D201" s="57" t="s">
        <v>279</v>
      </c>
      <c r="E201" s="22"/>
      <c r="F201" s="22"/>
      <c r="G201" s="22">
        <v>0</v>
      </c>
      <c r="H201" s="22"/>
      <c r="I201" s="22"/>
      <c r="J201" s="22"/>
      <c r="K201" s="22"/>
      <c r="L201" s="22">
        <v>499</v>
      </c>
      <c r="M201" s="22"/>
      <c r="N201" s="22"/>
      <c r="O201" s="22"/>
      <c r="P201" s="22"/>
      <c r="Q201" s="22"/>
      <c r="R201" s="22"/>
      <c r="S201" s="22"/>
      <c r="T201" s="22"/>
      <c r="U201" s="16">
        <f t="shared" si="15"/>
        <v>0</v>
      </c>
      <c r="V201" s="45" t="e">
        <f t="shared" si="16"/>
        <v>#DIV/0!</v>
      </c>
    </row>
    <row r="202" spans="1:22" x14ac:dyDescent="0.2">
      <c r="A202" s="3">
        <v>707307</v>
      </c>
      <c r="B202" s="3" t="s">
        <v>407</v>
      </c>
      <c r="C202" s="1">
        <v>772150</v>
      </c>
      <c r="D202" s="1" t="s">
        <v>154</v>
      </c>
      <c r="E202" s="22">
        <v>20445.920000000002</v>
      </c>
      <c r="F202" s="22">
        <v>11758.769999999999</v>
      </c>
      <c r="G202" s="22">
        <v>32265.22</v>
      </c>
      <c r="H202" s="22">
        <v>10440.32</v>
      </c>
      <c r="I202" s="22">
        <v>4560.2699999999995</v>
      </c>
      <c r="J202" s="22">
        <v>16054.95</v>
      </c>
      <c r="K202" s="22">
        <v>18150.800000000003</v>
      </c>
      <c r="L202" s="22">
        <v>22983.619999999995</v>
      </c>
      <c r="M202" s="22">
        <v>14066.91</v>
      </c>
      <c r="N202" s="43">
        <v>12787.34</v>
      </c>
      <c r="O202" s="42">
        <v>13271.28</v>
      </c>
      <c r="P202" s="42">
        <v>21129.72</v>
      </c>
      <c r="Q202" s="49">
        <v>48383.44</v>
      </c>
      <c r="R202" s="39">
        <v>24436.39</v>
      </c>
      <c r="S202" s="41">
        <v>9500.7999999999993</v>
      </c>
      <c r="T202" s="41">
        <v>15620.99</v>
      </c>
      <c r="U202" s="16">
        <f t="shared" si="15"/>
        <v>6120.1900000000005</v>
      </c>
      <c r="V202" s="45">
        <f t="shared" si="16"/>
        <v>0.64417627989221971</v>
      </c>
    </row>
    <row r="203" spans="1:22" x14ac:dyDescent="0.2">
      <c r="A203" s="3">
        <v>707350</v>
      </c>
      <c r="B203" s="3" t="s">
        <v>409</v>
      </c>
      <c r="C203" s="1">
        <v>773100</v>
      </c>
      <c r="D203" s="1" t="s">
        <v>155</v>
      </c>
      <c r="E203" s="22">
        <v>38204.409999999996</v>
      </c>
      <c r="F203" s="22">
        <v>23758.55</v>
      </c>
      <c r="G203" s="22">
        <v>24609.91</v>
      </c>
      <c r="H203" s="22">
        <v>19164.449999999997</v>
      </c>
      <c r="I203" s="22">
        <v>10600.36</v>
      </c>
      <c r="J203" s="22">
        <v>18511.39</v>
      </c>
      <c r="K203" s="22">
        <v>23388.54</v>
      </c>
      <c r="L203" s="22">
        <v>23768.05</v>
      </c>
      <c r="M203" s="22">
        <v>19257.97</v>
      </c>
      <c r="N203" s="43">
        <v>8895.32</v>
      </c>
      <c r="O203" s="42">
        <v>16160.43</v>
      </c>
      <c r="P203" s="42">
        <v>4407.21</v>
      </c>
      <c r="Q203" s="49">
        <v>15493.820000000002</v>
      </c>
      <c r="R203" s="49"/>
      <c r="S203" s="49"/>
      <c r="T203" s="49"/>
      <c r="U203" s="16">
        <f t="shared" si="15"/>
        <v>0</v>
      </c>
      <c r="V203" s="45" t="e">
        <f t="shared" si="16"/>
        <v>#DIV/0!</v>
      </c>
    </row>
    <row r="204" spans="1:22" x14ac:dyDescent="0.2">
      <c r="A204" s="3">
        <v>707350</v>
      </c>
      <c r="B204" s="3" t="s">
        <v>409</v>
      </c>
      <c r="C204" s="57">
        <v>773105</v>
      </c>
      <c r="D204" s="57" t="s">
        <v>280</v>
      </c>
      <c r="E204" s="22">
        <v>208</v>
      </c>
      <c r="F204" s="22"/>
      <c r="G204" s="22"/>
      <c r="H204" s="22"/>
      <c r="I204" s="22"/>
      <c r="J204" s="22"/>
      <c r="K204" s="22">
        <v>309</v>
      </c>
      <c r="L204" s="22"/>
      <c r="M204" s="22">
        <v>19.73</v>
      </c>
      <c r="N204" s="22"/>
      <c r="O204" s="22"/>
      <c r="P204" s="22"/>
      <c r="Q204" s="22"/>
      <c r="R204" s="22"/>
      <c r="S204" s="22"/>
      <c r="T204" s="22"/>
      <c r="U204" s="16">
        <f t="shared" si="15"/>
        <v>0</v>
      </c>
      <c r="V204" s="45" t="e">
        <f t="shared" si="16"/>
        <v>#DIV/0!</v>
      </c>
    </row>
    <row r="205" spans="1:22" x14ac:dyDescent="0.2">
      <c r="A205" s="3">
        <v>707350</v>
      </c>
      <c r="B205" s="3" t="s">
        <v>409</v>
      </c>
      <c r="C205" s="1">
        <v>773110</v>
      </c>
      <c r="D205" s="1" t="s">
        <v>156</v>
      </c>
      <c r="E205" s="22">
        <v>2717.1200000000003</v>
      </c>
      <c r="F205" s="22">
        <v>5111.25</v>
      </c>
      <c r="G205" s="22">
        <v>5571</v>
      </c>
      <c r="H205" s="22">
        <v>1343.7</v>
      </c>
      <c r="I205" s="22">
        <v>25.5</v>
      </c>
      <c r="J205" s="22"/>
      <c r="K205" s="22">
        <v>25.1</v>
      </c>
      <c r="L205" s="22">
        <v>1630</v>
      </c>
      <c r="M205" s="22">
        <v>283</v>
      </c>
      <c r="N205" s="43">
        <v>2346.5</v>
      </c>
      <c r="O205" s="42">
        <v>3183.24</v>
      </c>
      <c r="P205" s="42">
        <v>1157</v>
      </c>
      <c r="Q205" s="49">
        <v>19451.900000000001</v>
      </c>
      <c r="R205" s="39">
        <v>26794.01</v>
      </c>
      <c r="S205" s="41">
        <v>22420.200000000004</v>
      </c>
      <c r="T205" s="41">
        <v>67919.650000000009</v>
      </c>
      <c r="U205" s="16">
        <f t="shared" si="15"/>
        <v>45499.450000000004</v>
      </c>
      <c r="V205" s="45">
        <f t="shared" si="16"/>
        <v>2.0293953666782634</v>
      </c>
    </row>
    <row r="206" spans="1:22" x14ac:dyDescent="0.2">
      <c r="A206" s="3">
        <v>707403</v>
      </c>
      <c r="B206" s="3" t="s">
        <v>410</v>
      </c>
      <c r="C206" s="1">
        <v>773115</v>
      </c>
      <c r="D206" s="1" t="s">
        <v>157</v>
      </c>
      <c r="E206" s="22">
        <v>4677.66</v>
      </c>
      <c r="F206" s="22">
        <v>8078.1</v>
      </c>
      <c r="G206" s="22">
        <v>7728.3399999999992</v>
      </c>
      <c r="H206" s="22">
        <v>4576.25</v>
      </c>
      <c r="I206" s="22">
        <v>2805.54</v>
      </c>
      <c r="J206" s="22">
        <v>2637.13</v>
      </c>
      <c r="K206" s="22">
        <v>2032.5800000000002</v>
      </c>
      <c r="L206" s="22">
        <v>5417.55</v>
      </c>
      <c r="M206" s="22">
        <v>6125.4800000000005</v>
      </c>
      <c r="N206" s="43">
        <v>3609.98</v>
      </c>
      <c r="O206" s="42">
        <v>257.01</v>
      </c>
      <c r="P206" s="42"/>
      <c r="Q206" s="49">
        <v>19.5</v>
      </c>
      <c r="R206" s="39">
        <v>1486.97</v>
      </c>
      <c r="S206" s="41">
        <v>71.710000000000008</v>
      </c>
      <c r="T206" s="41"/>
      <c r="U206" s="16">
        <f t="shared" si="15"/>
        <v>-71.710000000000008</v>
      </c>
      <c r="V206" s="45">
        <f t="shared" si="16"/>
        <v>-1</v>
      </c>
    </row>
    <row r="207" spans="1:22" x14ac:dyDescent="0.2">
      <c r="A207" s="3">
        <v>707400</v>
      </c>
      <c r="B207" s="3" t="s">
        <v>158</v>
      </c>
      <c r="C207" s="1">
        <v>773120</v>
      </c>
      <c r="D207" s="1" t="s">
        <v>158</v>
      </c>
      <c r="E207" s="22">
        <v>71503.91</v>
      </c>
      <c r="F207" s="22">
        <v>62146.810000000005</v>
      </c>
      <c r="G207" s="22">
        <v>69891.400000000009</v>
      </c>
      <c r="H207" s="22">
        <v>56016.959999999992</v>
      </c>
      <c r="I207" s="22">
        <v>50399.01</v>
      </c>
      <c r="J207" s="22">
        <v>43140.170000000006</v>
      </c>
      <c r="K207" s="22">
        <v>42588.799999999996</v>
      </c>
      <c r="L207" s="22">
        <v>38642.39</v>
      </c>
      <c r="M207" s="22">
        <v>38949.470000000008</v>
      </c>
      <c r="N207" s="43">
        <v>38002.500000000007</v>
      </c>
      <c r="O207" s="42">
        <v>34847.880000000005</v>
      </c>
      <c r="P207" s="42">
        <v>30921.130000000005</v>
      </c>
      <c r="Q207" s="49">
        <v>33192.74</v>
      </c>
      <c r="R207" s="39">
        <v>30280.289999999997</v>
      </c>
      <c r="S207" s="41">
        <v>22841.780000000002</v>
      </c>
      <c r="T207" s="41">
        <v>37872.57</v>
      </c>
      <c r="U207" s="16">
        <f t="shared" si="15"/>
        <v>15030.789999999997</v>
      </c>
      <c r="V207" s="45">
        <f t="shared" si="16"/>
        <v>0.65803934719623403</v>
      </c>
    </row>
    <row r="208" spans="1:22" x14ac:dyDescent="0.2">
      <c r="A208" s="3">
        <v>702105</v>
      </c>
      <c r="B208" s="3" t="s">
        <v>350</v>
      </c>
      <c r="C208" s="1">
        <v>773125</v>
      </c>
      <c r="D208" s="1" t="s">
        <v>159</v>
      </c>
      <c r="E208" s="22">
        <v>7512.75</v>
      </c>
      <c r="F208" s="22">
        <v>26215.65</v>
      </c>
      <c r="G208" s="22">
        <v>27309.48</v>
      </c>
      <c r="H208" s="22">
        <v>21449.5</v>
      </c>
      <c r="I208" s="22">
        <v>23895.9</v>
      </c>
      <c r="J208" s="22">
        <v>9617.68</v>
      </c>
      <c r="K208" s="22">
        <v>15724.54</v>
      </c>
      <c r="L208" s="22">
        <v>23975.31</v>
      </c>
      <c r="M208" s="22">
        <v>7112.3099999999995</v>
      </c>
      <c r="N208" s="43">
        <v>14298.5</v>
      </c>
      <c r="O208" s="42">
        <v>21153.090000000004</v>
      </c>
      <c r="P208" s="42">
        <v>14076.78</v>
      </c>
      <c r="Q208" s="49">
        <v>13594.9</v>
      </c>
      <c r="R208" s="39">
        <v>30757</v>
      </c>
      <c r="S208" s="41">
        <v>5590</v>
      </c>
      <c r="T208" s="41"/>
      <c r="U208" s="16">
        <f t="shared" si="15"/>
        <v>-5590</v>
      </c>
      <c r="V208" s="45">
        <f t="shared" si="16"/>
        <v>-1</v>
      </c>
    </row>
    <row r="209" spans="1:22" x14ac:dyDescent="0.2">
      <c r="A209" s="3">
        <v>707505</v>
      </c>
      <c r="B209" s="3" t="s">
        <v>413</v>
      </c>
      <c r="C209" s="1">
        <v>773130</v>
      </c>
      <c r="D209" s="1" t="s">
        <v>160</v>
      </c>
      <c r="E209" s="22">
        <v>26825.88</v>
      </c>
      <c r="F209" s="22">
        <v>25887</v>
      </c>
      <c r="G209" s="22">
        <v>26060.86</v>
      </c>
      <c r="H209" s="22">
        <v>29220.799999999999</v>
      </c>
      <c r="I209" s="22">
        <v>19782.46</v>
      </c>
      <c r="J209" s="22">
        <v>19358.96</v>
      </c>
      <c r="K209" s="22">
        <v>19357</v>
      </c>
      <c r="L209" s="22">
        <v>17519.68</v>
      </c>
      <c r="M209" s="22">
        <v>21367.49</v>
      </c>
      <c r="N209" s="43">
        <v>8663.01</v>
      </c>
      <c r="O209" s="42">
        <v>8204.9</v>
      </c>
      <c r="P209" s="42">
        <v>8386.9</v>
      </c>
      <c r="Q209" s="49">
        <v>8910.7999999999993</v>
      </c>
      <c r="R209" s="49"/>
      <c r="S209" s="49"/>
      <c r="T209" s="49"/>
      <c r="U209" s="16">
        <f t="shared" si="15"/>
        <v>0</v>
      </c>
      <c r="V209" s="45" t="e">
        <f t="shared" si="16"/>
        <v>#DIV/0!</v>
      </c>
    </row>
    <row r="210" spans="1:22" x14ac:dyDescent="0.2">
      <c r="A210" s="3">
        <v>707505</v>
      </c>
      <c r="B210" s="3" t="s">
        <v>413</v>
      </c>
      <c r="C210" s="1">
        <v>773135</v>
      </c>
      <c r="D210" s="1" t="s">
        <v>161</v>
      </c>
      <c r="E210" s="22">
        <v>11654.320000000002</v>
      </c>
      <c r="F210" s="22">
        <v>8040.95</v>
      </c>
      <c r="G210" s="22">
        <v>9029.57</v>
      </c>
      <c r="H210" s="22">
        <v>7689.23</v>
      </c>
      <c r="I210" s="22">
        <v>14721.800000000001</v>
      </c>
      <c r="J210" s="22">
        <v>13828.399999999998</v>
      </c>
      <c r="K210" s="22">
        <v>9550.8000000000011</v>
      </c>
      <c r="L210" s="22">
        <v>10753.650000000001</v>
      </c>
      <c r="M210" s="22">
        <v>11693.649999999998</v>
      </c>
      <c r="N210" s="43">
        <v>10651.710000000001</v>
      </c>
      <c r="O210" s="42">
        <v>9696.5199999999986</v>
      </c>
      <c r="P210" s="42">
        <v>10555.710000000001</v>
      </c>
      <c r="Q210" s="49">
        <v>11279.71</v>
      </c>
      <c r="R210" s="39">
        <v>36514.590000000004</v>
      </c>
      <c r="S210" s="41">
        <v>31962.71</v>
      </c>
      <c r="T210" s="41">
        <v>21881</v>
      </c>
      <c r="U210" s="16">
        <f t="shared" si="15"/>
        <v>-10081.709999999999</v>
      </c>
      <c r="V210" s="45">
        <f t="shared" si="16"/>
        <v>-0.31542100153585223</v>
      </c>
    </row>
    <row r="211" spans="1:22" x14ac:dyDescent="0.2">
      <c r="A211" s="3">
        <v>707452</v>
      </c>
      <c r="B211" s="3" t="s">
        <v>412</v>
      </c>
      <c r="C211" s="1">
        <v>773141</v>
      </c>
      <c r="D211" s="1" t="s">
        <v>162</v>
      </c>
      <c r="E211" s="22">
        <v>6298.17</v>
      </c>
      <c r="F211" s="22">
        <v>12316.960000000001</v>
      </c>
      <c r="G211" s="22">
        <v>51619.47</v>
      </c>
      <c r="H211" s="22">
        <v>54650.19</v>
      </c>
      <c r="I211" s="22">
        <v>44548</v>
      </c>
      <c r="J211" s="22">
        <v>27866</v>
      </c>
      <c r="K211" s="22">
        <v>4578</v>
      </c>
      <c r="L211" s="22">
        <v>138.4</v>
      </c>
      <c r="M211" s="22"/>
      <c r="N211" s="43">
        <v>613</v>
      </c>
      <c r="O211" s="42">
        <v>146.4</v>
      </c>
      <c r="P211" s="42">
        <v>679.2</v>
      </c>
      <c r="Q211" s="42"/>
      <c r="R211" s="39">
        <v>168.8</v>
      </c>
      <c r="S211" s="41">
        <v>279</v>
      </c>
      <c r="T211" s="41">
        <v>521.20000000000005</v>
      </c>
      <c r="U211" s="16">
        <f t="shared" si="15"/>
        <v>242.20000000000005</v>
      </c>
      <c r="V211" s="45">
        <f t="shared" si="16"/>
        <v>0.8681003584229392</v>
      </c>
    </row>
    <row r="212" spans="1:22" x14ac:dyDescent="0.2">
      <c r="A212" s="3">
        <v>707450</v>
      </c>
      <c r="B212" s="3" t="s">
        <v>411</v>
      </c>
      <c r="C212" s="57">
        <v>773142</v>
      </c>
      <c r="D212" s="57" t="s">
        <v>197</v>
      </c>
      <c r="E212" s="22"/>
      <c r="F212" s="22"/>
      <c r="G212" s="22"/>
      <c r="H212" s="22">
        <v>4823</v>
      </c>
      <c r="I212" s="22"/>
      <c r="J212" s="22"/>
      <c r="K212" s="22"/>
      <c r="L212" s="22">
        <v>1797.5</v>
      </c>
      <c r="M212" s="22">
        <v>9029.58</v>
      </c>
      <c r="N212" s="43">
        <v>6471.42</v>
      </c>
      <c r="O212" s="42">
        <v>5937.58</v>
      </c>
      <c r="P212" s="42">
        <v>3522.42</v>
      </c>
      <c r="Q212" s="49">
        <v>3620.71</v>
      </c>
      <c r="R212" s="39">
        <v>22885.5</v>
      </c>
      <c r="S212" s="41">
        <v>45319.130000000005</v>
      </c>
      <c r="T212" s="41">
        <v>9914.57</v>
      </c>
      <c r="U212" s="16">
        <f t="shared" si="15"/>
        <v>-35404.560000000005</v>
      </c>
      <c r="V212" s="45">
        <f t="shared" si="16"/>
        <v>-0.78122770671016861</v>
      </c>
    </row>
    <row r="213" spans="1:22" x14ac:dyDescent="0.2">
      <c r="A213" s="3">
        <v>707450</v>
      </c>
      <c r="B213" s="3" t="s">
        <v>411</v>
      </c>
      <c r="C213" s="1">
        <v>773144</v>
      </c>
      <c r="D213" s="1" t="s">
        <v>163</v>
      </c>
      <c r="E213" s="22">
        <v>161.6</v>
      </c>
      <c r="F213" s="22">
        <v>147.63</v>
      </c>
      <c r="G213" s="22">
        <v>189.61</v>
      </c>
      <c r="H213" s="22"/>
      <c r="I213" s="22"/>
      <c r="J213" s="22"/>
      <c r="K213" s="22"/>
      <c r="L213" s="22">
        <v>10177</v>
      </c>
      <c r="M213" s="22">
        <v>2580</v>
      </c>
      <c r="N213" s="22"/>
      <c r="O213" s="22"/>
      <c r="P213" s="22"/>
      <c r="Q213" s="22"/>
      <c r="R213" s="22"/>
      <c r="S213" s="22"/>
      <c r="T213" s="22"/>
      <c r="U213" s="16">
        <f t="shared" si="15"/>
        <v>0</v>
      </c>
      <c r="V213" s="45" t="e">
        <f t="shared" si="16"/>
        <v>#DIV/0!</v>
      </c>
    </row>
    <row r="214" spans="1:22" x14ac:dyDescent="0.2">
      <c r="A214" s="3">
        <v>707590</v>
      </c>
      <c r="B214" s="3" t="s">
        <v>415</v>
      </c>
      <c r="C214" s="1">
        <v>774120</v>
      </c>
      <c r="D214" s="1" t="s">
        <v>164</v>
      </c>
      <c r="E214" s="22">
        <v>16050.630000000001</v>
      </c>
      <c r="F214" s="22">
        <v>15556.42</v>
      </c>
      <c r="G214" s="22">
        <v>16236.41</v>
      </c>
      <c r="H214" s="22">
        <v>15869.16</v>
      </c>
      <c r="I214" s="22">
        <v>14441.77</v>
      </c>
      <c r="J214" s="22">
        <v>1333.46</v>
      </c>
      <c r="K214" s="22"/>
      <c r="L214" s="22"/>
      <c r="M214" s="22"/>
      <c r="N214" s="22"/>
      <c r="O214" s="22"/>
      <c r="P214" s="22"/>
      <c r="Q214" s="22"/>
      <c r="R214" s="22"/>
      <c r="S214" s="41">
        <v>7848</v>
      </c>
      <c r="T214" s="41">
        <v>4171.26</v>
      </c>
      <c r="U214" s="16">
        <f t="shared" si="15"/>
        <v>-3676.74</v>
      </c>
      <c r="V214" s="45">
        <f t="shared" si="16"/>
        <v>-0.46849388379204893</v>
      </c>
    </row>
    <row r="215" spans="1:22" x14ac:dyDescent="0.2">
      <c r="A215" s="3">
        <v>707506</v>
      </c>
      <c r="B215" s="3" t="s">
        <v>414</v>
      </c>
      <c r="C215" s="57">
        <v>774130</v>
      </c>
      <c r="D215" s="57" t="s">
        <v>202</v>
      </c>
      <c r="E215" s="22">
        <v>1085</v>
      </c>
      <c r="F215" s="22">
        <v>2170</v>
      </c>
      <c r="G215" s="22">
        <v>140</v>
      </c>
      <c r="H215" s="22">
        <v>200</v>
      </c>
      <c r="I215" s="22">
        <v>455</v>
      </c>
      <c r="J215" s="22"/>
      <c r="K215" s="22"/>
      <c r="L215" s="22">
        <v>980</v>
      </c>
      <c r="M215" s="22">
        <v>574</v>
      </c>
      <c r="N215" s="43">
        <v>616</v>
      </c>
      <c r="O215" s="22"/>
      <c r="P215" s="22">
        <v>600</v>
      </c>
      <c r="Q215" s="49">
        <v>759</v>
      </c>
      <c r="R215" s="39">
        <v>1558</v>
      </c>
      <c r="S215" s="41">
        <v>967.5</v>
      </c>
      <c r="T215" s="41"/>
      <c r="U215" s="16">
        <f t="shared" si="15"/>
        <v>-967.5</v>
      </c>
      <c r="V215" s="45">
        <f t="shared" si="16"/>
        <v>-1</v>
      </c>
    </row>
    <row r="216" spans="1:22" x14ac:dyDescent="0.2">
      <c r="A216" s="3">
        <v>708025</v>
      </c>
      <c r="B216" s="3" t="s">
        <v>448</v>
      </c>
      <c r="C216" s="1">
        <v>781100</v>
      </c>
      <c r="D216" s="1" t="s">
        <v>165</v>
      </c>
      <c r="E216" s="22">
        <v>14521.279999999999</v>
      </c>
      <c r="F216" s="22">
        <v>37317.370000000003</v>
      </c>
      <c r="G216" s="22">
        <v>2292.83</v>
      </c>
      <c r="H216" s="22"/>
      <c r="I216" s="22"/>
      <c r="J216" s="22"/>
      <c r="K216" s="22"/>
      <c r="L216" s="22"/>
      <c r="M216" s="22"/>
      <c r="N216" s="22"/>
      <c r="O216" s="22"/>
      <c r="P216" s="22"/>
      <c r="Q216" s="22"/>
      <c r="R216" s="22"/>
      <c r="S216" s="22"/>
      <c r="T216" s="22"/>
      <c r="U216" s="16">
        <f t="shared" si="15"/>
        <v>0</v>
      </c>
      <c r="V216" s="45" t="e">
        <f t="shared" si="16"/>
        <v>#DIV/0!</v>
      </c>
    </row>
    <row r="217" spans="1:22" x14ac:dyDescent="0.2">
      <c r="A217" s="3">
        <v>707595</v>
      </c>
      <c r="B217" s="3" t="s">
        <v>416</v>
      </c>
      <c r="C217" s="57">
        <v>782105</v>
      </c>
      <c r="D217" s="57" t="s">
        <v>281</v>
      </c>
      <c r="E217" s="22"/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22"/>
      <c r="R217" s="22"/>
      <c r="S217" s="22"/>
      <c r="T217" s="22"/>
      <c r="U217" s="16">
        <f t="shared" si="15"/>
        <v>0</v>
      </c>
      <c r="V217" s="45" t="e">
        <f t="shared" si="16"/>
        <v>#DIV/0!</v>
      </c>
    </row>
    <row r="218" spans="1:22" x14ac:dyDescent="0.2">
      <c r="A218" s="3">
        <v>708010</v>
      </c>
      <c r="B218" s="3" t="s">
        <v>449</v>
      </c>
      <c r="C218" s="57">
        <v>784102</v>
      </c>
      <c r="D218" s="57" t="s">
        <v>204</v>
      </c>
      <c r="E218" s="22"/>
      <c r="F218" s="22"/>
      <c r="G218" s="22"/>
      <c r="H218" s="22"/>
      <c r="I218" s="22"/>
      <c r="J218" s="22">
        <v>6630</v>
      </c>
      <c r="K218" s="22">
        <v>3519.9900000000002</v>
      </c>
      <c r="L218" s="22">
        <v>245044.81</v>
      </c>
      <c r="M218" s="22"/>
      <c r="N218" s="22"/>
      <c r="O218" s="22"/>
      <c r="P218" s="22"/>
      <c r="Q218" s="22"/>
      <c r="R218" s="22"/>
      <c r="S218" s="22"/>
      <c r="T218" s="22"/>
      <c r="U218" s="16">
        <f t="shared" si="15"/>
        <v>0</v>
      </c>
      <c r="V218" s="45" t="e">
        <f t="shared" si="16"/>
        <v>#DIV/0!</v>
      </c>
    </row>
    <row r="219" spans="1:22" x14ac:dyDescent="0.2">
      <c r="A219" s="3">
        <v>708021</v>
      </c>
      <c r="B219" s="3" t="s">
        <v>417</v>
      </c>
      <c r="C219" s="1">
        <v>784202</v>
      </c>
      <c r="D219" s="1" t="s">
        <v>166</v>
      </c>
      <c r="E219" s="22">
        <v>2845.4</v>
      </c>
      <c r="F219" s="22"/>
      <c r="G219" s="22"/>
      <c r="H219" s="22"/>
      <c r="I219" s="22"/>
      <c r="J219" s="22"/>
      <c r="K219" s="22">
        <v>43835</v>
      </c>
      <c r="L219" s="22">
        <v>70914.59</v>
      </c>
      <c r="M219" s="22">
        <v>9873.26</v>
      </c>
      <c r="N219" s="22"/>
      <c r="O219" s="22"/>
      <c r="P219" s="22"/>
      <c r="Q219" s="22"/>
      <c r="R219" s="22"/>
      <c r="S219" s="22"/>
      <c r="T219" s="22"/>
      <c r="U219" s="16">
        <f t="shared" si="15"/>
        <v>0</v>
      </c>
      <c r="V219" s="45" t="e">
        <f t="shared" si="16"/>
        <v>#DIV/0!</v>
      </c>
    </row>
    <row r="220" spans="1:22" x14ac:dyDescent="0.2">
      <c r="A220" s="3">
        <v>708023</v>
      </c>
      <c r="B220" s="3" t="s">
        <v>418</v>
      </c>
      <c r="C220" s="1">
        <v>784203</v>
      </c>
      <c r="D220" s="1" t="s">
        <v>167</v>
      </c>
      <c r="E220" s="22"/>
      <c r="F220" s="22"/>
      <c r="G220" s="22"/>
      <c r="H220" s="22"/>
      <c r="I220" s="22"/>
      <c r="J220" s="22"/>
      <c r="K220" s="22">
        <v>5097.34</v>
      </c>
      <c r="L220" s="22">
        <v>4821</v>
      </c>
      <c r="M220" s="22">
        <v>998</v>
      </c>
      <c r="N220" s="43">
        <v>5990</v>
      </c>
      <c r="O220" s="22"/>
      <c r="P220" s="22"/>
      <c r="Q220" s="22"/>
      <c r="R220" s="22"/>
      <c r="S220" s="22"/>
      <c r="T220" s="22"/>
      <c r="U220" s="16">
        <f t="shared" ref="U220:U234" si="17">T220-S220</f>
        <v>0</v>
      </c>
      <c r="V220" s="45" t="e">
        <f t="shared" ref="V220:V235" si="18">U220/S220</f>
        <v>#DIV/0!</v>
      </c>
    </row>
    <row r="221" spans="1:22" x14ac:dyDescent="0.2">
      <c r="A221" s="3">
        <v>708061</v>
      </c>
      <c r="B221" s="3" t="s">
        <v>422</v>
      </c>
      <c r="C221" s="1">
        <v>784302</v>
      </c>
      <c r="D221" s="1" t="s">
        <v>168</v>
      </c>
      <c r="E221" s="22"/>
      <c r="F221" s="22"/>
      <c r="G221" s="22"/>
      <c r="H221" s="22"/>
      <c r="I221" s="22"/>
      <c r="J221" s="22">
        <v>9907.9</v>
      </c>
      <c r="K221" s="22">
        <v>10776.49</v>
      </c>
      <c r="L221" s="22">
        <v>11611.34</v>
      </c>
      <c r="M221" s="22"/>
      <c r="N221" s="22"/>
      <c r="O221" s="22"/>
      <c r="P221" s="22"/>
      <c r="Q221" s="22"/>
      <c r="R221" s="22"/>
      <c r="S221" s="22"/>
      <c r="T221" s="22"/>
      <c r="U221" s="16">
        <f t="shared" si="17"/>
        <v>0</v>
      </c>
      <c r="V221" s="45" t="e">
        <f t="shared" si="18"/>
        <v>#DIV/0!</v>
      </c>
    </row>
    <row r="222" spans="1:22" x14ac:dyDescent="0.2">
      <c r="A222" s="3">
        <v>708063</v>
      </c>
      <c r="B222" s="3" t="s">
        <v>423</v>
      </c>
      <c r="C222" s="1">
        <v>784304</v>
      </c>
      <c r="D222" s="1" t="s">
        <v>169</v>
      </c>
      <c r="E222" s="22">
        <v>17630.29</v>
      </c>
      <c r="F222" s="22">
        <v>2599.5</v>
      </c>
      <c r="G222" s="22">
        <v>1352.5</v>
      </c>
      <c r="H222" s="22">
        <v>4072.6</v>
      </c>
      <c r="I222" s="22">
        <v>12133.28</v>
      </c>
      <c r="J222" s="22">
        <v>14717</v>
      </c>
      <c r="K222" s="22">
        <v>22183.68</v>
      </c>
      <c r="L222" s="22">
        <v>6688.4</v>
      </c>
      <c r="M222" s="22">
        <v>5817.77</v>
      </c>
      <c r="N222" s="43">
        <v>7217.12</v>
      </c>
      <c r="O222" s="22"/>
      <c r="P222" s="22"/>
      <c r="Q222" s="49">
        <v>463809.03</v>
      </c>
      <c r="R222" s="49"/>
      <c r="S222" s="49"/>
      <c r="T222" s="49"/>
      <c r="U222" s="16">
        <f t="shared" si="17"/>
        <v>0</v>
      </c>
      <c r="V222" s="45" t="e">
        <f t="shared" si="18"/>
        <v>#DIV/0!</v>
      </c>
    </row>
    <row r="223" spans="1:22" x14ac:dyDescent="0.2">
      <c r="A223" s="3">
        <v>708060</v>
      </c>
      <c r="B223" s="3" t="s">
        <v>421</v>
      </c>
      <c r="C223" s="57">
        <v>784305</v>
      </c>
      <c r="D223" s="57" t="s">
        <v>207</v>
      </c>
      <c r="E223" s="22"/>
      <c r="F223" s="22"/>
      <c r="G223" s="22"/>
      <c r="H223" s="22"/>
      <c r="I223" s="22">
        <v>4858.8600000000006</v>
      </c>
      <c r="J223" s="22">
        <v>3578.1</v>
      </c>
      <c r="K223" s="22"/>
      <c r="L223" s="22">
        <v>1834</v>
      </c>
      <c r="M223" s="22"/>
      <c r="N223" s="43"/>
      <c r="O223" s="22"/>
      <c r="P223" s="22"/>
      <c r="Q223" s="22"/>
      <c r="R223" s="22"/>
      <c r="S223" s="22"/>
      <c r="T223" s="22"/>
      <c r="U223" s="16">
        <f t="shared" si="17"/>
        <v>0</v>
      </c>
      <c r="V223" s="45" t="e">
        <f t="shared" si="18"/>
        <v>#DIV/0!</v>
      </c>
    </row>
    <row r="224" spans="1:22" x14ac:dyDescent="0.2">
      <c r="A224" s="3">
        <v>708070</v>
      </c>
      <c r="B224" s="3" t="s">
        <v>424</v>
      </c>
      <c r="C224" s="38">
        <v>784306</v>
      </c>
      <c r="D224" s="38" t="s">
        <v>208</v>
      </c>
      <c r="E224" s="34"/>
      <c r="F224" s="34"/>
      <c r="G224" s="34"/>
      <c r="H224" s="34"/>
      <c r="I224" s="34"/>
      <c r="J224" s="34"/>
      <c r="K224" s="34"/>
      <c r="L224" s="34"/>
      <c r="M224" s="34"/>
      <c r="N224" s="35"/>
      <c r="O224" s="36">
        <v>4570</v>
      </c>
      <c r="P224" s="36"/>
      <c r="Q224" s="36"/>
      <c r="R224" s="36"/>
      <c r="S224" s="36"/>
      <c r="T224" s="36"/>
      <c r="U224" s="16">
        <f t="shared" si="17"/>
        <v>0</v>
      </c>
      <c r="V224" s="45" t="e">
        <f t="shared" si="18"/>
        <v>#DIV/0!</v>
      </c>
    </row>
    <row r="225" spans="1:22" x14ac:dyDescent="0.2">
      <c r="A225" s="3">
        <v>708030</v>
      </c>
      <c r="B225" s="3" t="s">
        <v>419</v>
      </c>
      <c r="C225" s="1">
        <v>784307</v>
      </c>
      <c r="D225" s="1" t="s">
        <v>170</v>
      </c>
      <c r="E225" s="28">
        <v>2990</v>
      </c>
      <c r="F225" s="28">
        <v>3417.5</v>
      </c>
      <c r="G225" s="28">
        <v>2908.75</v>
      </c>
      <c r="H225" s="28">
        <v>2275.56</v>
      </c>
      <c r="I225" s="28">
        <v>10098</v>
      </c>
      <c r="J225" s="28">
        <v>6047.5</v>
      </c>
      <c r="K225" s="28">
        <v>8994.69</v>
      </c>
      <c r="L225" s="28">
        <v>16039.87</v>
      </c>
      <c r="M225" s="28">
        <v>12956</v>
      </c>
      <c r="N225" s="35"/>
      <c r="O225" s="34"/>
      <c r="P225" s="34"/>
      <c r="Q225" s="34"/>
      <c r="R225" s="34"/>
      <c r="S225" s="34"/>
      <c r="T225" s="34"/>
      <c r="U225" s="16">
        <f t="shared" si="17"/>
        <v>0</v>
      </c>
      <c r="V225" s="45" t="e">
        <f t="shared" si="18"/>
        <v>#DIV/0!</v>
      </c>
    </row>
    <row r="226" spans="1:22" x14ac:dyDescent="0.2">
      <c r="A226" s="3">
        <v>708060</v>
      </c>
      <c r="B226" s="3" t="s">
        <v>421</v>
      </c>
      <c r="C226" s="1">
        <v>784308</v>
      </c>
      <c r="D226" s="1" t="s">
        <v>171</v>
      </c>
      <c r="E226" s="28">
        <v>5750</v>
      </c>
      <c r="F226" s="28">
        <v>19521.18</v>
      </c>
      <c r="G226" s="28">
        <v>4503.99</v>
      </c>
      <c r="H226" s="28">
        <v>11847.380000000001</v>
      </c>
      <c r="I226" s="28">
        <v>29672.15</v>
      </c>
      <c r="J226" s="28">
        <v>88002.37</v>
      </c>
      <c r="K226" s="28">
        <v>20306.100000000002</v>
      </c>
      <c r="L226" s="28">
        <v>32556.370000000003</v>
      </c>
      <c r="M226" s="28">
        <v>93095.039999999994</v>
      </c>
      <c r="N226" s="35">
        <v>23100.67</v>
      </c>
      <c r="O226" s="36">
        <v>90754.91</v>
      </c>
      <c r="P226" s="36">
        <v>92789.23000000001</v>
      </c>
      <c r="Q226" s="53">
        <v>30428.010000000002</v>
      </c>
      <c r="R226" s="39">
        <v>195671.3</v>
      </c>
      <c r="S226" s="41">
        <v>17257.55</v>
      </c>
      <c r="T226" s="41">
        <v>5200</v>
      </c>
      <c r="U226" s="16">
        <f t="shared" si="17"/>
        <v>-12057.55</v>
      </c>
      <c r="V226" s="45">
        <f t="shared" si="18"/>
        <v>-0.69868260558422257</v>
      </c>
    </row>
    <row r="227" spans="1:22" x14ac:dyDescent="0.2">
      <c r="A227" s="3">
        <v>708060</v>
      </c>
      <c r="B227" s="3" t="s">
        <v>421</v>
      </c>
      <c r="C227" s="27">
        <v>784309</v>
      </c>
      <c r="D227" s="27" t="s">
        <v>209</v>
      </c>
      <c r="E227" s="28"/>
      <c r="F227" s="28"/>
      <c r="G227" s="28"/>
      <c r="H227" s="28"/>
      <c r="I227" s="28"/>
      <c r="J227" s="28"/>
      <c r="K227" s="28"/>
      <c r="L227" s="28"/>
      <c r="M227" s="28">
        <v>4492.8900000000003</v>
      </c>
      <c r="N227" s="34"/>
      <c r="O227" s="36"/>
      <c r="P227" s="36"/>
      <c r="Q227" s="36"/>
      <c r="R227" s="36"/>
      <c r="S227" s="36"/>
      <c r="T227" s="36"/>
      <c r="U227" s="16">
        <f t="shared" si="17"/>
        <v>0</v>
      </c>
      <c r="V227" s="45" t="e">
        <f t="shared" si="18"/>
        <v>#DIV/0!</v>
      </c>
    </row>
    <row r="228" spans="1:22" x14ac:dyDescent="0.2">
      <c r="A228" s="3">
        <v>708040</v>
      </c>
      <c r="B228" s="3" t="s">
        <v>420</v>
      </c>
      <c r="C228" s="1">
        <v>784401</v>
      </c>
      <c r="D228" s="1" t="s">
        <v>172</v>
      </c>
      <c r="E228" s="28">
        <v>30259.18</v>
      </c>
      <c r="F228" s="28">
        <v>13277.61</v>
      </c>
      <c r="G228" s="28">
        <v>25929.35</v>
      </c>
      <c r="H228" s="28">
        <v>5698.52</v>
      </c>
      <c r="I228" s="28">
        <v>8831.65</v>
      </c>
      <c r="J228" s="28">
        <v>42011.289999999994</v>
      </c>
      <c r="K228" s="28">
        <v>41610.22</v>
      </c>
      <c r="L228" s="28">
        <v>32451.100000000002</v>
      </c>
      <c r="M228" s="28">
        <v>20662.410000000003</v>
      </c>
      <c r="N228" s="35">
        <v>34516.619999999995</v>
      </c>
      <c r="O228" s="36">
        <v>12138.960000000001</v>
      </c>
      <c r="P228" s="36">
        <v>7362.74</v>
      </c>
      <c r="Q228" s="53">
        <v>7679.920000000001</v>
      </c>
      <c r="R228" s="39">
        <v>1571.41</v>
      </c>
      <c r="S228" s="41">
        <v>49.26</v>
      </c>
      <c r="T228" s="41">
        <v>8.48</v>
      </c>
      <c r="U228" s="16">
        <f t="shared" si="17"/>
        <v>-40.78</v>
      </c>
      <c r="V228" s="45">
        <f t="shared" si="18"/>
        <v>-0.82785221274868048</v>
      </c>
    </row>
    <row r="229" spans="1:22" x14ac:dyDescent="0.2">
      <c r="A229" s="3">
        <v>708080</v>
      </c>
      <c r="B229" s="3" t="s">
        <v>451</v>
      </c>
      <c r="C229" s="38">
        <v>784402</v>
      </c>
      <c r="D229" s="38" t="s">
        <v>261</v>
      </c>
      <c r="E229" s="34"/>
      <c r="F229" s="34"/>
      <c r="G229" s="34"/>
      <c r="H229" s="34"/>
      <c r="I229" s="34"/>
      <c r="J229" s="34"/>
      <c r="K229" s="34"/>
      <c r="L229" s="34"/>
      <c r="M229" s="34"/>
      <c r="N229" s="35"/>
      <c r="O229" s="36">
        <v>387</v>
      </c>
      <c r="P229" s="36">
        <v>796</v>
      </c>
      <c r="Q229" s="36"/>
      <c r="R229" s="36"/>
      <c r="S229" s="41">
        <v>10500</v>
      </c>
      <c r="T229" s="41">
        <v>12500</v>
      </c>
      <c r="U229" s="16">
        <f t="shared" si="17"/>
        <v>2000</v>
      </c>
      <c r="V229" s="45">
        <f t="shared" si="18"/>
        <v>0.19047619047619047</v>
      </c>
    </row>
    <row r="230" spans="1:22" x14ac:dyDescent="0.2">
      <c r="A230" s="3">
        <v>708060</v>
      </c>
      <c r="B230" s="3" t="s">
        <v>421</v>
      </c>
      <c r="C230" s="1">
        <v>784501</v>
      </c>
      <c r="D230" s="1" t="s">
        <v>173</v>
      </c>
      <c r="E230" s="28"/>
      <c r="F230" s="28">
        <v>29840</v>
      </c>
      <c r="G230" s="28">
        <v>15928.87</v>
      </c>
      <c r="H230" s="28">
        <v>6963.3700000000008</v>
      </c>
      <c r="I230" s="28">
        <v>12664.84</v>
      </c>
      <c r="J230" s="28">
        <v>14327.380000000001</v>
      </c>
      <c r="K230" s="28">
        <v>7444.9000000000005</v>
      </c>
      <c r="L230" s="28">
        <v>38158.300000000003</v>
      </c>
      <c r="M230" s="28">
        <v>45940.47</v>
      </c>
      <c r="N230" s="34">
        <v>1199.99</v>
      </c>
      <c r="O230" s="36">
        <v>2416</v>
      </c>
      <c r="P230" s="36">
        <v>1058.99</v>
      </c>
      <c r="Q230" s="36"/>
      <c r="R230" s="36"/>
      <c r="S230" s="36"/>
      <c r="T230" s="36"/>
      <c r="U230" s="16">
        <f t="shared" si="17"/>
        <v>0</v>
      </c>
      <c r="V230" s="45" t="e">
        <f t="shared" si="18"/>
        <v>#DIV/0!</v>
      </c>
    </row>
    <row r="231" spans="1:22" x14ac:dyDescent="0.2">
      <c r="A231" s="3">
        <v>708021</v>
      </c>
      <c r="B231" s="3" t="s">
        <v>417</v>
      </c>
      <c r="C231" s="1">
        <v>784604</v>
      </c>
      <c r="D231" s="1" t="s">
        <v>174</v>
      </c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16">
        <f t="shared" si="17"/>
        <v>0</v>
      </c>
      <c r="V231" s="45" t="e">
        <f t="shared" si="18"/>
        <v>#DIV/0!</v>
      </c>
    </row>
    <row r="232" spans="1:22" x14ac:dyDescent="0.2">
      <c r="A232" s="72">
        <v>713010</v>
      </c>
      <c r="B232" s="72" t="s">
        <v>479</v>
      </c>
      <c r="C232" s="1"/>
      <c r="D232" s="1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41">
        <v>3688899</v>
      </c>
      <c r="T232" s="48">
        <f>14880837.56-14870837.56</f>
        <v>10000</v>
      </c>
      <c r="U232" s="16">
        <f t="shared" si="17"/>
        <v>-3678899</v>
      </c>
      <c r="V232" s="45">
        <f t="shared" si="18"/>
        <v>-0.99728916405680934</v>
      </c>
    </row>
    <row r="233" spans="1:22" x14ac:dyDescent="0.2">
      <c r="A233" s="3">
        <v>802402</v>
      </c>
      <c r="B233" s="3" t="s">
        <v>457</v>
      </c>
      <c r="C233" s="3">
        <v>822280</v>
      </c>
      <c r="D233" s="3" t="s">
        <v>315</v>
      </c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>
        <v>12310</v>
      </c>
      <c r="R233" s="2"/>
      <c r="S233" s="2">
        <v>-4150</v>
      </c>
      <c r="T233" s="2"/>
      <c r="U233" s="16">
        <f t="shared" si="17"/>
        <v>4150</v>
      </c>
      <c r="V233" s="45">
        <f t="shared" si="18"/>
        <v>-1</v>
      </c>
    </row>
    <row r="234" spans="1:22" x14ac:dyDescent="0.2">
      <c r="C234" s="3" t="s">
        <v>234</v>
      </c>
      <c r="D234" s="3" t="s">
        <v>235</v>
      </c>
      <c r="E234" s="2"/>
      <c r="F234" s="2"/>
      <c r="G234" s="2"/>
      <c r="H234" s="2"/>
      <c r="I234" s="2">
        <v>332141.49</v>
      </c>
      <c r="J234" s="2">
        <v>507775.2</v>
      </c>
      <c r="K234" s="2">
        <v>138074.37</v>
      </c>
      <c r="L234" s="2">
        <v>39224.080000000002</v>
      </c>
      <c r="M234" s="2">
        <v>92990.06</v>
      </c>
      <c r="N234" s="2">
        <v>267125.71000000002</v>
      </c>
      <c r="O234" s="2">
        <v>289348.03000000003</v>
      </c>
      <c r="P234" s="2">
        <v>420.5</v>
      </c>
      <c r="Q234" s="2"/>
      <c r="R234" s="2"/>
      <c r="S234" s="2"/>
      <c r="T234" s="2"/>
      <c r="U234" s="16">
        <f t="shared" si="17"/>
        <v>0</v>
      </c>
      <c r="V234" s="45" t="e">
        <f t="shared" si="18"/>
        <v>#DIV/0!</v>
      </c>
    </row>
    <row r="235" spans="1:22" x14ac:dyDescent="0.2">
      <c r="D235" s="5" t="s">
        <v>233</v>
      </c>
      <c r="E235" s="11">
        <f>SUM(E92:E234)</f>
        <v>2500104.8000000003</v>
      </c>
      <c r="F235" s="11">
        <f t="shared" ref="F235:U235" si="19">SUM(F92:F234)</f>
        <v>2972991.9100000006</v>
      </c>
      <c r="G235" s="11">
        <f t="shared" si="19"/>
        <v>3079026.3700000024</v>
      </c>
      <c r="H235" s="11">
        <f t="shared" si="19"/>
        <v>2784240.3200000012</v>
      </c>
      <c r="I235" s="11">
        <f t="shared" si="19"/>
        <v>2993761.1499999994</v>
      </c>
      <c r="J235" s="11">
        <f t="shared" si="19"/>
        <v>3600009.790000001</v>
      </c>
      <c r="K235" s="11">
        <f t="shared" si="19"/>
        <v>3423477.2100000004</v>
      </c>
      <c r="L235" s="11">
        <f t="shared" si="19"/>
        <v>3807197.6099999989</v>
      </c>
      <c r="M235" s="11">
        <f t="shared" si="19"/>
        <v>3421170.5800000015</v>
      </c>
      <c r="N235" s="11">
        <f t="shared" si="19"/>
        <v>3144459.2100000004</v>
      </c>
      <c r="O235" s="11">
        <f t="shared" si="19"/>
        <v>3514026.6999999965</v>
      </c>
      <c r="P235" s="11">
        <f t="shared" si="19"/>
        <v>3478538.5300000012</v>
      </c>
      <c r="Q235" s="11">
        <f t="shared" si="19"/>
        <v>4390889.4000000004</v>
      </c>
      <c r="R235" s="11">
        <f t="shared" si="19"/>
        <v>4049146.6100000003</v>
      </c>
      <c r="S235" s="11">
        <f t="shared" si="19"/>
        <v>7198341.29</v>
      </c>
      <c r="T235" s="11">
        <f t="shared" ref="T235" si="20">SUM(T92:T234)</f>
        <v>2425023.8499999996</v>
      </c>
      <c r="U235" s="20">
        <f t="shared" si="19"/>
        <v>-4773317.4400000004</v>
      </c>
      <c r="V235" s="45">
        <f t="shared" si="18"/>
        <v>-0.66311352125400547</v>
      </c>
    </row>
    <row r="236" spans="1:22" x14ac:dyDescent="0.2"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S236" s="4"/>
      <c r="T236" s="4"/>
      <c r="U236" s="16"/>
      <c r="V236" s="45"/>
    </row>
    <row r="237" spans="1:22" x14ac:dyDescent="0.2">
      <c r="C237" s="3" t="s">
        <v>218</v>
      </c>
      <c r="E237" s="4"/>
      <c r="F237" s="4"/>
      <c r="G237" s="4"/>
      <c r="H237" s="4"/>
      <c r="I237" s="4">
        <v>3218264.69</v>
      </c>
      <c r="J237" s="4">
        <v>3458430.98</v>
      </c>
      <c r="K237" s="4">
        <v>2743218.32</v>
      </c>
      <c r="L237" s="4">
        <v>2992594.75</v>
      </c>
      <c r="M237" s="4">
        <v>3049473.12</v>
      </c>
      <c r="N237" s="4">
        <f t="shared" ref="N237:S237" si="21">N11</f>
        <v>3184283.43</v>
      </c>
      <c r="O237" s="4">
        <f t="shared" si="21"/>
        <v>2576827.6</v>
      </c>
      <c r="P237" s="4">
        <f t="shared" si="21"/>
        <v>2748321.54</v>
      </c>
      <c r="Q237" s="4">
        <f t="shared" si="21"/>
        <v>3543108.78</v>
      </c>
      <c r="R237" s="4">
        <f t="shared" si="21"/>
        <v>4608706.37</v>
      </c>
      <c r="S237" s="4">
        <f t="shared" si="21"/>
        <v>2911152.78</v>
      </c>
      <c r="T237" s="4">
        <f t="shared" ref="T237" si="22">T11</f>
        <v>3104810.72</v>
      </c>
      <c r="U237" s="16">
        <f t="shared" ref="U237" si="23">T237-S237</f>
        <v>193657.94000000041</v>
      </c>
      <c r="V237" s="45">
        <f t="shared" ref="V237" si="24">U237/S237</f>
        <v>6.6522767657697587E-2</v>
      </c>
    </row>
    <row r="238" spans="1:22" x14ac:dyDescent="0.2"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S238" s="4"/>
      <c r="T238" s="4"/>
      <c r="U238" s="16"/>
      <c r="V238" s="45"/>
    </row>
    <row r="239" spans="1:22" x14ac:dyDescent="0.2">
      <c r="C239" s="3" t="s">
        <v>219</v>
      </c>
      <c r="E239" s="4"/>
      <c r="F239" s="4"/>
      <c r="G239" s="4"/>
      <c r="H239" s="4"/>
      <c r="I239" s="4">
        <v>1891573.62</v>
      </c>
      <c r="J239" s="4">
        <v>1913148.46</v>
      </c>
      <c r="K239" s="4">
        <v>1896891.57</v>
      </c>
      <c r="L239" s="4">
        <v>1944815.81</v>
      </c>
      <c r="M239" s="4">
        <v>2192862.83</v>
      </c>
      <c r="N239" s="4">
        <f t="shared" ref="N239:S239" si="25">N12</f>
        <v>2194069.73</v>
      </c>
      <c r="O239" s="4">
        <f t="shared" si="25"/>
        <v>2544551.5099999998</v>
      </c>
      <c r="P239" s="4">
        <f t="shared" si="25"/>
        <v>2610210.52</v>
      </c>
      <c r="Q239" s="4">
        <f t="shared" si="25"/>
        <v>2459498.0699999998</v>
      </c>
      <c r="R239" s="4">
        <f t="shared" si="25"/>
        <v>2577467.2799999998</v>
      </c>
      <c r="S239" s="4">
        <f t="shared" si="25"/>
        <v>2621274.7200000002</v>
      </c>
      <c r="T239" s="4">
        <f t="shared" ref="T239" si="26">T12</f>
        <v>2471575.15</v>
      </c>
      <c r="U239" s="16">
        <f t="shared" ref="U239" si="27">T239-S239</f>
        <v>-149699.5700000003</v>
      </c>
      <c r="V239" s="45">
        <f t="shared" ref="V239:V241" si="28">U239/S239</f>
        <v>-5.7109454746506041E-2</v>
      </c>
    </row>
    <row r="240" spans="1:22" x14ac:dyDescent="0.2"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  <c r="U240" s="16"/>
      <c r="V240" s="45"/>
    </row>
    <row r="241" spans="3:22" ht="13.5" thickBot="1" x14ac:dyDescent="0.25">
      <c r="D241" s="14" t="s">
        <v>2</v>
      </c>
      <c r="E241" s="10">
        <f>E91+E235+SUM(E236:E240)</f>
        <v>15827069.190000001</v>
      </c>
      <c r="F241" s="10">
        <f t="shared" ref="F241:U241" si="29">F91+F235+SUM(F236:F240)</f>
        <v>17477328.48</v>
      </c>
      <c r="G241" s="10">
        <f t="shared" si="29"/>
        <v>18650594.900000002</v>
      </c>
      <c r="H241" s="10">
        <f t="shared" si="29"/>
        <v>19419495.490000006</v>
      </c>
      <c r="I241" s="10">
        <f t="shared" si="29"/>
        <v>23932884.390000001</v>
      </c>
      <c r="J241" s="10">
        <f t="shared" si="29"/>
        <v>25550555.920000002</v>
      </c>
      <c r="K241" s="10">
        <f t="shared" si="29"/>
        <v>24861164.720000003</v>
      </c>
      <c r="L241" s="10">
        <f t="shared" si="29"/>
        <v>25984079.369999997</v>
      </c>
      <c r="M241" s="10">
        <f t="shared" si="29"/>
        <v>27868916.289999999</v>
      </c>
      <c r="N241" s="10">
        <f t="shared" si="29"/>
        <v>29524736.070000004</v>
      </c>
      <c r="O241" s="10">
        <f t="shared" si="29"/>
        <v>31896373.409999996</v>
      </c>
      <c r="P241" s="10">
        <f t="shared" si="29"/>
        <v>32015106.330000006</v>
      </c>
      <c r="Q241" s="10">
        <f t="shared" si="29"/>
        <v>33151226.019999996</v>
      </c>
      <c r="R241" s="10">
        <f t="shared" si="29"/>
        <v>36052491.289999999</v>
      </c>
      <c r="S241" s="10">
        <f t="shared" si="29"/>
        <v>39899057.450000003</v>
      </c>
      <c r="T241" s="10">
        <f t="shared" ref="T241" si="30">T91+T235+SUM(T236:T240)</f>
        <v>35245011.979999997</v>
      </c>
      <c r="U241" s="21">
        <f t="shared" si="29"/>
        <v>-4654045.4700000007</v>
      </c>
      <c r="V241" s="45">
        <f t="shared" si="28"/>
        <v>-0.11664549910313735</v>
      </c>
    </row>
    <row r="242" spans="3:22" ht="13.5" thickTop="1" x14ac:dyDescent="0.2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3:22" x14ac:dyDescent="0.2">
      <c r="C243" s="3" t="s">
        <v>220</v>
      </c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3:22" x14ac:dyDescent="0.2">
      <c r="C244" s="3" t="s">
        <v>221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  <row r="245" spans="3:22" x14ac:dyDescent="0.2"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S245" s="4"/>
      <c r="T245" s="4"/>
    </row>
    <row r="246" spans="3:22" x14ac:dyDescent="0.2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</row>
    <row r="247" spans="3:22" x14ac:dyDescent="0.2">
      <c r="C247" s="12" t="s">
        <v>482</v>
      </c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S247" s="4"/>
      <c r="T247" s="4"/>
    </row>
  </sheetData>
  <phoneticPr fontId="10" type="noConversion"/>
  <pageMargins left="0" right="0" top="0" bottom="0.5" header="0" footer="0"/>
  <pageSetup paperSize="5" scale="90" fitToHeight="20" orientation="landscape" r:id="rId1"/>
  <headerFooter>
    <oddFooter>&amp;R&amp;8Page &amp;P of &amp;N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V257"/>
  <sheetViews>
    <sheetView zoomScaleNormal="100" workbookViewId="0">
      <pane xSplit="4" ySplit="7" topLeftCell="R224" activePane="bottomRight" state="frozen"/>
      <selection pane="topRight" activeCell="C1" sqref="C1"/>
      <selection pane="bottomLeft" activeCell="A8" sqref="A8"/>
      <selection pane="bottomRight" activeCell="V239" sqref="V239"/>
    </sheetView>
  </sheetViews>
  <sheetFormatPr defaultColWidth="9.140625" defaultRowHeight="12.75" x14ac:dyDescent="0.2"/>
  <cols>
    <col min="1" max="1" width="7.140625" style="3" bestFit="1" customWidth="1"/>
    <col min="2" max="2" width="36.85546875" style="3" bestFit="1" customWidth="1"/>
    <col min="3" max="3" width="8.85546875" style="3" customWidth="1"/>
    <col min="4" max="4" width="35.7109375" style="3" bestFit="1" customWidth="1"/>
    <col min="5" max="11" width="14" style="3" bestFit="1" customWidth="1"/>
    <col min="12" max="12" width="14" style="3" customWidth="1"/>
    <col min="13" max="13" width="14" style="3" bestFit="1" customWidth="1"/>
    <col min="14" max="20" width="14" style="3" customWidth="1"/>
    <col min="21" max="21" width="14.7109375" style="3" customWidth="1"/>
    <col min="22" max="22" width="13.710937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244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15968516.689999999</v>
      </c>
      <c r="F9" s="4">
        <v>16946852.600000001</v>
      </c>
      <c r="G9" s="4">
        <v>17869868.059999999</v>
      </c>
      <c r="H9" s="4">
        <v>18719423.300000001</v>
      </c>
      <c r="I9" s="4">
        <v>18591275.23</v>
      </c>
      <c r="J9" s="4">
        <v>19302377.039999999</v>
      </c>
      <c r="K9" s="4">
        <v>19482070.5</v>
      </c>
      <c r="L9" s="4">
        <v>19915126.559999999</v>
      </c>
      <c r="M9" s="4">
        <v>22403868.68</v>
      </c>
      <c r="N9" s="4">
        <v>24711215.75</v>
      </c>
      <c r="O9" s="4">
        <v>26914655.559999999</v>
      </c>
      <c r="P9" s="4">
        <f>15808180.71+10718100.16</f>
        <v>26526280.870000001</v>
      </c>
      <c r="Q9" s="4">
        <f>15561020.59+10939294.95</f>
        <v>26500315.539999999</v>
      </c>
      <c r="R9" s="4">
        <f>14085731.04+8643026.84</f>
        <v>22728757.879999999</v>
      </c>
      <c r="S9" s="4">
        <f>13122209.01+9832577</f>
        <v>22954786.009999998</v>
      </c>
      <c r="T9" s="4">
        <f>13811533.48+10684131.1</f>
        <v>24495664.579999998</v>
      </c>
      <c r="U9" s="16">
        <f>T9-S9</f>
        <v>1540878.5700000003</v>
      </c>
      <c r="V9" s="45">
        <f>U9/S9</f>
        <v>6.7126679783846982E-2</v>
      </c>
    </row>
    <row r="10" spans="1:22" x14ac:dyDescent="0.2">
      <c r="C10" s="3" t="s">
        <v>1</v>
      </c>
      <c r="E10" s="4">
        <v>5815405.5099999998</v>
      </c>
      <c r="F10" s="4">
        <v>6618193.6600000001</v>
      </c>
      <c r="G10" s="4">
        <v>8131250.2699999996</v>
      </c>
      <c r="H10" s="4">
        <v>6708780.71</v>
      </c>
      <c r="I10" s="4">
        <v>6006220.9800000004</v>
      </c>
      <c r="J10" s="4">
        <v>6159025.8700000001</v>
      </c>
      <c r="K10" s="4">
        <v>4670471.83</v>
      </c>
      <c r="L10" s="4">
        <v>5355189.68</v>
      </c>
      <c r="M10" s="4">
        <v>5369960.9900000002</v>
      </c>
      <c r="N10" s="4">
        <v>5350712.3099999996</v>
      </c>
      <c r="O10" s="4">
        <v>5616297.8399999999</v>
      </c>
      <c r="P10" s="4">
        <v>4665982.92</v>
      </c>
      <c r="Q10" s="4">
        <f>5048957.41</f>
        <v>5048957.41</v>
      </c>
      <c r="R10" s="4">
        <v>7138169.79</v>
      </c>
      <c r="S10" s="4">
        <f>5842947.33+1036586</f>
        <v>6879533.3300000001</v>
      </c>
      <c r="T10" s="4">
        <v>8583463.7699999996</v>
      </c>
      <c r="U10" s="16">
        <f t="shared" ref="U10:U12" si="0">T10-S10</f>
        <v>1703930.4399999995</v>
      </c>
      <c r="V10" s="45">
        <f t="shared" ref="V10:V13" si="1">U10/S10</f>
        <v>0.24768110833471307</v>
      </c>
    </row>
    <row r="11" spans="1:22" x14ac:dyDescent="0.2">
      <c r="C11" s="3" t="s">
        <v>218</v>
      </c>
      <c r="E11" s="4"/>
      <c r="F11" s="4"/>
      <c r="G11" s="4"/>
      <c r="H11" s="4"/>
      <c r="I11" s="4">
        <v>3778059.88</v>
      </c>
      <c r="J11" s="4">
        <v>4026549.66</v>
      </c>
      <c r="K11" s="4">
        <v>3181623.74</v>
      </c>
      <c r="L11" s="4">
        <v>3457060.98</v>
      </c>
      <c r="M11" s="4">
        <v>3563617.59</v>
      </c>
      <c r="N11" s="4">
        <v>3762113.66</v>
      </c>
      <c r="O11" s="4">
        <v>2985287.61</v>
      </c>
      <c r="P11" s="4">
        <v>3147133.9</v>
      </c>
      <c r="Q11" s="4">
        <v>4125785.03</v>
      </c>
      <c r="R11" s="4">
        <v>4220874.7699999996</v>
      </c>
      <c r="S11" s="4">
        <v>2459665.0099999998</v>
      </c>
      <c r="T11" s="4">
        <v>2791642.65</v>
      </c>
      <c r="U11" s="16">
        <f t="shared" si="0"/>
        <v>331977.64000000013</v>
      </c>
      <c r="V11" s="45">
        <f t="shared" si="1"/>
        <v>0.13496863948965154</v>
      </c>
    </row>
    <row r="12" spans="1:22" x14ac:dyDescent="0.2">
      <c r="C12" s="3" t="s">
        <v>219</v>
      </c>
      <c r="E12" s="4"/>
      <c r="F12" s="4"/>
      <c r="G12" s="4"/>
      <c r="H12" s="4"/>
      <c r="I12" s="4">
        <v>2220599.94</v>
      </c>
      <c r="J12" s="4">
        <v>2227422.58</v>
      </c>
      <c r="K12" s="4">
        <v>2200041.9</v>
      </c>
      <c r="L12" s="4">
        <v>2246661.3199999998</v>
      </c>
      <c r="M12" s="4">
        <v>2562581.87</v>
      </c>
      <c r="N12" s="4">
        <v>2592212.64</v>
      </c>
      <c r="O12" s="4">
        <v>2947895.35</v>
      </c>
      <c r="P12" s="4">
        <v>2988981.41</v>
      </c>
      <c r="Q12" s="4">
        <v>2863970.86</v>
      </c>
      <c r="R12" s="4">
        <v>2360568.4</v>
      </c>
      <c r="S12" s="4">
        <v>2214743.85</v>
      </c>
      <c r="T12" s="4">
        <v>2222278.65</v>
      </c>
      <c r="U12" s="16">
        <f t="shared" si="0"/>
        <v>7534.7999999998137</v>
      </c>
      <c r="V12" s="45">
        <f t="shared" si="1"/>
        <v>3.4021090068722002E-3</v>
      </c>
    </row>
    <row r="13" spans="1:22" ht="13.5" thickBot="1" x14ac:dyDescent="0.25">
      <c r="C13" s="3" t="s">
        <v>2</v>
      </c>
      <c r="E13" s="10">
        <f t="shared" ref="E13:U13" si="2">SUM(E9:E12)</f>
        <v>21783922.199999999</v>
      </c>
      <c r="F13" s="10">
        <f t="shared" si="2"/>
        <v>23565046.260000002</v>
      </c>
      <c r="G13" s="10">
        <f t="shared" si="2"/>
        <v>26001118.329999998</v>
      </c>
      <c r="H13" s="10">
        <f t="shared" si="2"/>
        <v>25428204.010000002</v>
      </c>
      <c r="I13" s="10">
        <f t="shared" si="2"/>
        <v>30596156.030000001</v>
      </c>
      <c r="J13" s="10">
        <f t="shared" si="2"/>
        <v>31715375.149999999</v>
      </c>
      <c r="K13" s="10">
        <f t="shared" si="2"/>
        <v>29534207.969999999</v>
      </c>
      <c r="L13" s="10">
        <f t="shared" si="2"/>
        <v>30974038.539999999</v>
      </c>
      <c r="M13" s="10">
        <f t="shared" si="2"/>
        <v>33900029.130000003</v>
      </c>
      <c r="N13" s="10">
        <f t="shared" si="2"/>
        <v>36416254.359999999</v>
      </c>
      <c r="O13" s="10">
        <f t="shared" si="2"/>
        <v>38464136.359999999</v>
      </c>
      <c r="P13" s="10">
        <f t="shared" si="2"/>
        <v>37328379.099999994</v>
      </c>
      <c r="Q13" s="10">
        <f t="shared" si="2"/>
        <v>38539028.839999996</v>
      </c>
      <c r="R13" s="10">
        <f t="shared" si="2"/>
        <v>36448370.839999996</v>
      </c>
      <c r="S13" s="10">
        <f t="shared" si="2"/>
        <v>34508728.199999996</v>
      </c>
      <c r="T13" s="10">
        <f t="shared" si="2"/>
        <v>38093049.649999999</v>
      </c>
      <c r="U13" s="21">
        <f t="shared" si="2"/>
        <v>3584321.4499999997</v>
      </c>
      <c r="V13" s="45">
        <f t="shared" si="1"/>
        <v>0.10386709788974489</v>
      </c>
    </row>
    <row r="14" spans="1:22" ht="13.5" thickTop="1" x14ac:dyDescent="0.2">
      <c r="U14" s="16"/>
    </row>
    <row r="15" spans="1:22" x14ac:dyDescent="0.2">
      <c r="C15" s="8" t="s">
        <v>245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2">
        <v>5354216.1700000009</v>
      </c>
      <c r="F18" s="22">
        <v>5399128.8599999985</v>
      </c>
      <c r="G18" s="22">
        <v>5497037.9100000029</v>
      </c>
      <c r="H18" s="22">
        <v>5501158.330000001</v>
      </c>
      <c r="I18" s="22">
        <v>5138464.88</v>
      </c>
      <c r="J18" s="22">
        <v>5375375.8900000006</v>
      </c>
      <c r="K18" s="22">
        <v>5436712.5399999991</v>
      </c>
      <c r="L18" s="22">
        <v>5714717.1600000001</v>
      </c>
      <c r="M18" s="22">
        <v>6874579.2999999989</v>
      </c>
      <c r="N18" s="43">
        <v>8322204.8000000007</v>
      </c>
      <c r="O18" s="48">
        <f>9278297.11+719196.98-0.01</f>
        <v>9997494.0800000001</v>
      </c>
      <c r="P18" s="48">
        <f>9142218.49+652489.63</f>
        <v>9794708.120000001</v>
      </c>
      <c r="Q18" s="49">
        <f>8633433.04+643459.75</f>
        <v>9276892.7899999991</v>
      </c>
      <c r="R18" s="39">
        <f>9101879.72+1036139.13</f>
        <v>10138018.850000001</v>
      </c>
      <c r="S18" s="41">
        <f>10247959.22+1159887.95</f>
        <v>11407847.17</v>
      </c>
      <c r="T18" s="41">
        <f>10910581.05+1229264.2</f>
        <v>12139845.25</v>
      </c>
      <c r="U18" s="16">
        <f t="shared" ref="U18" si="3">T18-S18</f>
        <v>731998.08000000007</v>
      </c>
      <c r="V18" s="45">
        <f t="shared" ref="V18" si="4">U18/S18</f>
        <v>6.4166189210965743E-2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E19" s="22"/>
      <c r="F19" s="22"/>
      <c r="G19" s="22">
        <v>1012.59</v>
      </c>
      <c r="H19" s="22"/>
      <c r="I19" s="22"/>
      <c r="J19" s="22"/>
      <c r="K19" s="22">
        <v>11000</v>
      </c>
      <c r="L19" s="22"/>
      <c r="M19" s="22"/>
      <c r="N19" s="43"/>
      <c r="O19" s="47"/>
      <c r="P19" s="47"/>
      <c r="Q19" s="47"/>
      <c r="R19" s="47"/>
      <c r="S19" s="47"/>
      <c r="T19" s="47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E20" s="22"/>
      <c r="F20" s="22"/>
      <c r="G20" s="22"/>
      <c r="H20" s="22"/>
      <c r="I20" s="22"/>
      <c r="J20" s="22"/>
      <c r="K20" s="22"/>
      <c r="L20" s="22"/>
      <c r="M20" s="22">
        <v>4483.96</v>
      </c>
      <c r="N20" s="43"/>
      <c r="O20" s="47">
        <f>665.38</f>
        <v>665.38</v>
      </c>
      <c r="P20" s="47"/>
      <c r="Q20" s="47"/>
      <c r="R20" s="47"/>
      <c r="S20" s="47"/>
      <c r="T20" s="47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E21" s="22">
        <v>131534.96</v>
      </c>
      <c r="F21" s="22">
        <v>138262.13999999998</v>
      </c>
      <c r="G21" s="22">
        <v>113803.89</v>
      </c>
      <c r="H21" s="22">
        <v>124732.74</v>
      </c>
      <c r="I21" s="22">
        <v>115717.40000000001</v>
      </c>
      <c r="J21" s="22">
        <v>116486.79000000001</v>
      </c>
      <c r="K21" s="22">
        <v>130530.29000000001</v>
      </c>
      <c r="L21" s="22">
        <v>130045.19</v>
      </c>
      <c r="M21" s="22">
        <v>145664.70000000001</v>
      </c>
      <c r="N21" s="43">
        <v>93754.78</v>
      </c>
      <c r="O21" s="48">
        <v>89205.16</v>
      </c>
      <c r="P21" s="48">
        <v>4934.5200000000004</v>
      </c>
      <c r="Q21" s="47"/>
      <c r="R21" s="47"/>
      <c r="S21" s="47"/>
      <c r="T21" s="47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>
        <v>3629796.0000000009</v>
      </c>
      <c r="F22" s="22">
        <v>3870688.7100000004</v>
      </c>
      <c r="G22" s="22">
        <v>4358269.4600000009</v>
      </c>
      <c r="H22" s="22">
        <v>4698971.9799999995</v>
      </c>
      <c r="I22" s="22">
        <v>4706158.5499999989</v>
      </c>
      <c r="J22" s="22">
        <v>5095909.5799999991</v>
      </c>
      <c r="K22" s="22">
        <v>5145927.1399999997</v>
      </c>
      <c r="L22" s="22">
        <v>4864807.2400000012</v>
      </c>
      <c r="M22" s="22">
        <v>4479860.8000000007</v>
      </c>
      <c r="N22" s="43">
        <v>3818986.5800000005</v>
      </c>
      <c r="O22" s="48">
        <f>3243193.68+104705.06</f>
        <v>3347898.74</v>
      </c>
      <c r="P22" s="48">
        <f>3208286.41+110298.49</f>
        <v>3318584.9000000004</v>
      </c>
      <c r="Q22" s="49">
        <f>3302038.53+106020.23</f>
        <v>3408058.76</v>
      </c>
      <c r="R22" s="49"/>
      <c r="S22" s="49"/>
      <c r="T22" s="49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2">
        <v>460939.43</v>
      </c>
      <c r="F23" s="22">
        <v>449248.95</v>
      </c>
      <c r="G23" s="22">
        <v>555403.82000000007</v>
      </c>
      <c r="H23" s="22">
        <v>622884.80999999994</v>
      </c>
      <c r="I23" s="22">
        <v>693827.70000000007</v>
      </c>
      <c r="J23" s="22">
        <v>654460.5199999999</v>
      </c>
      <c r="K23" s="22">
        <v>618545.90999999992</v>
      </c>
      <c r="L23" s="22">
        <v>552058.65</v>
      </c>
      <c r="M23" s="22">
        <v>570459.46</v>
      </c>
      <c r="N23" s="43">
        <v>471526.40000000002</v>
      </c>
      <c r="O23" s="48">
        <f>404500.48+4425.68</f>
        <v>408926.16</v>
      </c>
      <c r="P23" s="48">
        <f>303655.92+4780.06</f>
        <v>308435.98</v>
      </c>
      <c r="Q23" s="49">
        <f>273596.49+3834.77</f>
        <v>277431.26</v>
      </c>
      <c r="R23" s="49"/>
      <c r="S23" s="49"/>
      <c r="T23" s="49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P24" s="3">
        <v>2658.1099999999997</v>
      </c>
      <c r="Q24" s="47"/>
      <c r="R24" s="47"/>
      <c r="S24" s="47"/>
      <c r="T24" s="47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8">
        <f>5753.48+155.87</f>
        <v>5909.3499999999995</v>
      </c>
      <c r="P25" s="48">
        <f>22811.01+1721.27</f>
        <v>24532.28</v>
      </c>
      <c r="Q25" s="49">
        <f>750.56+25.12</f>
        <v>775.68</v>
      </c>
      <c r="R25" s="49"/>
      <c r="S25" s="49"/>
      <c r="T25" s="49"/>
      <c r="U25" s="16"/>
      <c r="V25" s="45"/>
    </row>
    <row r="26" spans="1:22" x14ac:dyDescent="0.2">
      <c r="C26" s="1"/>
      <c r="D26" s="5" t="s">
        <v>229</v>
      </c>
      <c r="E26" s="6">
        <f t="shared" ref="E26:U26" si="5">SUM(E18:E25)</f>
        <v>9576486.5600000024</v>
      </c>
      <c r="F26" s="6">
        <f t="shared" si="5"/>
        <v>9857328.6599999983</v>
      </c>
      <c r="G26" s="6">
        <f t="shared" si="5"/>
        <v>10525527.670000004</v>
      </c>
      <c r="H26" s="6">
        <f t="shared" si="5"/>
        <v>10947747.860000001</v>
      </c>
      <c r="I26" s="6">
        <f t="shared" si="5"/>
        <v>10654168.529999997</v>
      </c>
      <c r="J26" s="6">
        <f t="shared" si="5"/>
        <v>11242232.779999999</v>
      </c>
      <c r="K26" s="6">
        <f t="shared" si="5"/>
        <v>11342715.879999999</v>
      </c>
      <c r="L26" s="6">
        <f t="shared" si="5"/>
        <v>11261628.240000002</v>
      </c>
      <c r="M26" s="6">
        <f t="shared" si="5"/>
        <v>12075048.219999999</v>
      </c>
      <c r="N26" s="6">
        <f t="shared" si="5"/>
        <v>12706472.560000001</v>
      </c>
      <c r="O26" s="6">
        <f t="shared" si="5"/>
        <v>13850098.870000001</v>
      </c>
      <c r="P26" s="6">
        <f t="shared" si="5"/>
        <v>13453853.91</v>
      </c>
      <c r="Q26" s="6">
        <f t="shared" si="5"/>
        <v>12963158.489999998</v>
      </c>
      <c r="R26" s="6">
        <f t="shared" si="5"/>
        <v>10138018.850000001</v>
      </c>
      <c r="S26" s="6">
        <f t="shared" si="5"/>
        <v>11407847.17</v>
      </c>
      <c r="T26" s="6">
        <f t="shared" si="5"/>
        <v>12139845.25</v>
      </c>
      <c r="U26" s="17">
        <f t="shared" si="5"/>
        <v>731998.08000000007</v>
      </c>
      <c r="V26" s="45">
        <f t="shared" ref="V26:V27" si="6">U26/S26</f>
        <v>6.4166189210965743E-2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2">
        <v>12229.98</v>
      </c>
      <c r="F27" s="22">
        <v>38332.67</v>
      </c>
      <c r="G27" s="22">
        <v>15065.84</v>
      </c>
      <c r="H27" s="22">
        <v>-9945.75</v>
      </c>
      <c r="I27" s="22">
        <v>250.82999999999947</v>
      </c>
      <c r="J27" s="22">
        <v>-954.74000000000035</v>
      </c>
      <c r="K27" s="22">
        <v>-13723.27</v>
      </c>
      <c r="L27" s="22">
        <v>3789.5000000000005</v>
      </c>
      <c r="M27" s="22">
        <v>13265.53</v>
      </c>
      <c r="N27" s="43">
        <v>1487.02</v>
      </c>
      <c r="O27" s="42">
        <f>1989.05+75.63</f>
        <v>2064.6799999999998</v>
      </c>
      <c r="P27" s="42">
        <f>96446.4+5491.4</f>
        <v>101937.79999999999</v>
      </c>
      <c r="Q27" s="49">
        <f>57924.08+3251.16</f>
        <v>61175.240000000005</v>
      </c>
      <c r="R27" s="39">
        <f>-28233.92+(-7666.63)</f>
        <v>-35900.549999999996</v>
      </c>
      <c r="S27" s="41">
        <f>32918.21+2145.34</f>
        <v>35063.550000000003</v>
      </c>
      <c r="T27" s="41">
        <f>(-33011.64)+1738.23</f>
        <v>-31273.41</v>
      </c>
      <c r="U27" s="16">
        <f t="shared" ref="U27" si="7">T27-S27</f>
        <v>-66336.960000000006</v>
      </c>
      <c r="V27" s="45">
        <f t="shared" si="6"/>
        <v>-1.8919065525310472</v>
      </c>
    </row>
    <row r="28" spans="1:22" x14ac:dyDescent="0.2">
      <c r="A28" s="3">
        <v>601100</v>
      </c>
      <c r="B28" s="3" t="s">
        <v>318</v>
      </c>
      <c r="C28" s="1">
        <v>611530</v>
      </c>
      <c r="D28" s="58" t="s">
        <v>313</v>
      </c>
      <c r="E28" s="22"/>
      <c r="F28" s="22"/>
      <c r="G28" s="22"/>
      <c r="H28" s="22"/>
      <c r="I28" s="22"/>
      <c r="J28" s="22"/>
      <c r="K28" s="22"/>
      <c r="L28" s="22"/>
      <c r="M28" s="22"/>
      <c r="N28" s="43"/>
      <c r="O28" s="42"/>
      <c r="P28" s="42">
        <v>10691.460000000001</v>
      </c>
      <c r="Q28" s="42"/>
      <c r="R28" s="42"/>
      <c r="S28" s="42"/>
      <c r="T28" s="42"/>
      <c r="U28" s="16">
        <f t="shared" ref="U28:U72" si="8">T28-S28</f>
        <v>0</v>
      </c>
      <c r="V28" s="45" t="e">
        <f t="shared" ref="V28:V73" si="9">U28/S28</f>
        <v>#DIV/0!</v>
      </c>
    </row>
    <row r="29" spans="1:22" x14ac:dyDescent="0.2">
      <c r="A29" s="3">
        <v>601100</v>
      </c>
      <c r="B29" s="3" t="s">
        <v>318</v>
      </c>
      <c r="C29" s="57">
        <v>611540</v>
      </c>
      <c r="D29" s="57" t="s">
        <v>254</v>
      </c>
      <c r="E29" s="22">
        <v>29873.64</v>
      </c>
      <c r="F29" s="22"/>
      <c r="G29" s="22">
        <v>14774.4</v>
      </c>
      <c r="H29" s="22">
        <v>50219.32</v>
      </c>
      <c r="I29" s="22">
        <v>10543.48</v>
      </c>
      <c r="J29" s="22"/>
      <c r="K29" s="22"/>
      <c r="L29" s="22"/>
      <c r="M29" s="22"/>
      <c r="N29" s="43"/>
      <c r="O29" s="42">
        <v>51706.770000000004</v>
      </c>
      <c r="P29" s="42">
        <v>50638.29</v>
      </c>
      <c r="Q29" s="42"/>
      <c r="R29" s="39">
        <f>149357.08+1658.75</f>
        <v>151015.82999999999</v>
      </c>
      <c r="S29" s="41">
        <f>98480.86+4871.87</f>
        <v>103352.73</v>
      </c>
      <c r="T29" s="41">
        <f>150068.16+1656.75</f>
        <v>151724.91</v>
      </c>
      <c r="U29" s="16">
        <f t="shared" si="8"/>
        <v>48372.180000000008</v>
      </c>
      <c r="V29" s="45">
        <f t="shared" si="9"/>
        <v>0.46803001720419007</v>
      </c>
    </row>
    <row r="30" spans="1:22" x14ac:dyDescent="0.2">
      <c r="A30" s="3">
        <v>601100</v>
      </c>
      <c r="B30" s="3" t="s">
        <v>318</v>
      </c>
      <c r="C30" s="57">
        <v>611550</v>
      </c>
      <c r="D30" s="57" t="s">
        <v>176</v>
      </c>
      <c r="E30" s="22"/>
      <c r="F30" s="22"/>
      <c r="G30" s="22"/>
      <c r="H30" s="22"/>
      <c r="I30" s="22"/>
      <c r="J30" s="22"/>
      <c r="K30" s="22"/>
      <c r="L30" s="22">
        <v>1545</v>
      </c>
      <c r="M30" s="22"/>
      <c r="N30" s="43"/>
      <c r="O30" s="22"/>
      <c r="P30" s="22"/>
      <c r="Q30" s="22"/>
      <c r="R30" s="22"/>
      <c r="S30" s="22"/>
      <c r="T30" s="22"/>
      <c r="U30" s="16">
        <f t="shared" si="8"/>
        <v>0</v>
      </c>
      <c r="V30" s="45" t="e">
        <f t="shared" si="9"/>
        <v>#DIV/0!</v>
      </c>
    </row>
    <row r="31" spans="1:22" x14ac:dyDescent="0.2">
      <c r="A31" s="3">
        <v>601302</v>
      </c>
      <c r="B31" s="3" t="s">
        <v>320</v>
      </c>
      <c r="C31" s="1">
        <v>612110</v>
      </c>
      <c r="D31" s="1" t="s">
        <v>19</v>
      </c>
      <c r="E31" s="22">
        <v>26043.05</v>
      </c>
      <c r="F31" s="22">
        <v>172241.4</v>
      </c>
      <c r="G31" s="22">
        <v>52146.94</v>
      </c>
      <c r="H31" s="22">
        <v>8015.9500000000007</v>
      </c>
      <c r="I31" s="22">
        <v>27631.5</v>
      </c>
      <c r="J31" s="22">
        <v>37930.230000000003</v>
      </c>
      <c r="K31" s="22">
        <v>21739.8</v>
      </c>
      <c r="L31" s="22">
        <v>25597.5</v>
      </c>
      <c r="M31" s="22">
        <v>36633</v>
      </c>
      <c r="N31" s="43">
        <v>36858.5</v>
      </c>
      <c r="O31" s="42">
        <v>10308</v>
      </c>
      <c r="P31" s="42"/>
      <c r="Q31" s="42"/>
      <c r="R31" s="42"/>
      <c r="S31" s="41">
        <v>5214</v>
      </c>
      <c r="T31" s="41"/>
      <c r="U31" s="16">
        <f t="shared" si="8"/>
        <v>-5214</v>
      </c>
      <c r="V31" s="45">
        <f t="shared" si="9"/>
        <v>-1</v>
      </c>
    </row>
    <row r="32" spans="1:22" x14ac:dyDescent="0.2">
      <c r="A32" s="3">
        <v>601300</v>
      </c>
      <c r="B32" s="3" t="s">
        <v>319</v>
      </c>
      <c r="C32" s="1">
        <v>612130</v>
      </c>
      <c r="D32" s="1" t="s">
        <v>20</v>
      </c>
      <c r="E32" s="22">
        <v>81382.47</v>
      </c>
      <c r="F32" s="22">
        <v>110204.99</v>
      </c>
      <c r="G32" s="22">
        <v>119732.99</v>
      </c>
      <c r="H32" s="22">
        <v>100356.40000000001</v>
      </c>
      <c r="I32" s="22">
        <v>251999.55000000002</v>
      </c>
      <c r="J32" s="22">
        <v>211563.76</v>
      </c>
      <c r="K32" s="22">
        <v>156185.51</v>
      </c>
      <c r="L32" s="22">
        <v>142589.69</v>
      </c>
      <c r="M32" s="22">
        <v>127318.68999999999</v>
      </c>
      <c r="N32" s="43">
        <v>197125.94000000003</v>
      </c>
      <c r="O32" s="42">
        <f>196218.14+989.04</f>
        <v>197207.18000000002</v>
      </c>
      <c r="P32" s="42">
        <f>139747.96+2948.11</f>
        <v>142696.06999999998</v>
      </c>
      <c r="Q32" s="49">
        <f>172017.78+4835.12</f>
        <v>176852.9</v>
      </c>
      <c r="R32" s="39">
        <f>128059.76+3754.24</f>
        <v>131814</v>
      </c>
      <c r="S32" s="41">
        <f>103059.6+925.99</f>
        <v>103985.59000000001</v>
      </c>
      <c r="T32" s="41">
        <f>63699.66</f>
        <v>63699.66</v>
      </c>
      <c r="U32" s="16">
        <f t="shared" si="8"/>
        <v>-40285.930000000008</v>
      </c>
      <c r="V32" s="45">
        <f t="shared" si="9"/>
        <v>-0.38741839133672273</v>
      </c>
    </row>
    <row r="33" spans="1:22" x14ac:dyDescent="0.2">
      <c r="A33" s="3">
        <v>601100</v>
      </c>
      <c r="B33" s="3" t="s">
        <v>318</v>
      </c>
      <c r="C33" s="1">
        <v>612205</v>
      </c>
      <c r="D33" s="1" t="s">
        <v>21</v>
      </c>
      <c r="E33" s="22">
        <v>121561.61000000002</v>
      </c>
      <c r="F33" s="22">
        <v>126584.16</v>
      </c>
      <c r="G33" s="22">
        <v>134558.15999999997</v>
      </c>
      <c r="H33" s="22">
        <v>164151.41</v>
      </c>
      <c r="I33" s="22">
        <v>161789.02000000002</v>
      </c>
      <c r="J33" s="22">
        <v>165024.98000000001</v>
      </c>
      <c r="K33" s="22">
        <v>171904.84000000003</v>
      </c>
      <c r="L33" s="22">
        <v>184069.74</v>
      </c>
      <c r="M33" s="22">
        <v>148092.41999999998</v>
      </c>
      <c r="N33" s="43">
        <v>131063.08</v>
      </c>
      <c r="O33" s="42">
        <f>158538.6+1880.84</f>
        <v>160419.44</v>
      </c>
      <c r="P33" s="42">
        <f>131034.48+1736.68</f>
        <v>132771.16</v>
      </c>
      <c r="Q33" s="49">
        <f>114116.44+1837.45</f>
        <v>115953.89</v>
      </c>
      <c r="R33" s="49"/>
      <c r="S33" s="49"/>
      <c r="T33" s="49"/>
      <c r="U33" s="16">
        <f t="shared" si="8"/>
        <v>0</v>
      </c>
      <c r="V33" s="45" t="e">
        <f t="shared" si="9"/>
        <v>#DIV/0!</v>
      </c>
    </row>
    <row r="34" spans="1:22" x14ac:dyDescent="0.2">
      <c r="A34" s="3">
        <v>601510</v>
      </c>
      <c r="B34" s="3" t="s">
        <v>22</v>
      </c>
      <c r="C34" s="1">
        <v>612220</v>
      </c>
      <c r="D34" s="1" t="s">
        <v>22</v>
      </c>
      <c r="U34" s="16">
        <f t="shared" si="8"/>
        <v>0</v>
      </c>
      <c r="V34" s="45" t="e">
        <f t="shared" si="9"/>
        <v>#DIV/0!</v>
      </c>
    </row>
    <row r="35" spans="1:22" x14ac:dyDescent="0.2">
      <c r="A35" s="3">
        <v>601306</v>
      </c>
      <c r="B35" s="3" t="s">
        <v>324</v>
      </c>
      <c r="C35" s="1">
        <v>612230</v>
      </c>
      <c r="D35" s="1" t="s">
        <v>23</v>
      </c>
      <c r="E35" s="22">
        <v>325978.87999999995</v>
      </c>
      <c r="F35" s="22">
        <v>295489.56</v>
      </c>
      <c r="G35" s="22">
        <v>325737.24</v>
      </c>
      <c r="H35" s="22">
        <v>344351.80999999994</v>
      </c>
      <c r="I35" s="22">
        <v>285963.66000000003</v>
      </c>
      <c r="J35" s="22">
        <v>277354.13</v>
      </c>
      <c r="K35" s="22">
        <v>319722.56000000006</v>
      </c>
      <c r="L35" s="22">
        <v>248793.63000000003</v>
      </c>
      <c r="M35" s="22">
        <v>276894.8</v>
      </c>
      <c r="N35" s="43">
        <v>291971.25</v>
      </c>
      <c r="O35" s="42">
        <f>222269.53+4615.35</f>
        <v>226884.88</v>
      </c>
      <c r="P35" s="42">
        <f>247424.96+2241.39</f>
        <v>249666.35</v>
      </c>
      <c r="Q35" s="49">
        <f>254215.56+1895.89</f>
        <v>256111.45</v>
      </c>
      <c r="R35" s="39">
        <f>247790.2+5358.36</f>
        <v>253148.56</v>
      </c>
      <c r="S35" s="41">
        <f>231222.81+7756.04</f>
        <v>238978.85</v>
      </c>
      <c r="T35" s="41">
        <f>218286.88+11788.65</f>
        <v>230075.53</v>
      </c>
      <c r="U35" s="16">
        <f t="shared" si="8"/>
        <v>-8903.320000000007</v>
      </c>
      <c r="V35" s="45">
        <f t="shared" si="9"/>
        <v>-3.7255681831258318E-2</v>
      </c>
    </row>
    <row r="36" spans="1:22" x14ac:dyDescent="0.2">
      <c r="A36" s="3">
        <v>601303</v>
      </c>
      <c r="B36" s="3" t="s">
        <v>321</v>
      </c>
      <c r="C36" s="1">
        <v>612235</v>
      </c>
      <c r="D36" s="1" t="s">
        <v>24</v>
      </c>
      <c r="E36" s="22">
        <v>197115.76</v>
      </c>
      <c r="F36" s="22">
        <v>114006.02</v>
      </c>
      <c r="G36" s="22">
        <v>166285.49</v>
      </c>
      <c r="H36" s="22">
        <v>104507.46</v>
      </c>
      <c r="I36" s="22">
        <v>68457.84</v>
      </c>
      <c r="J36" s="22">
        <v>70760.53</v>
      </c>
      <c r="K36" s="22">
        <v>1155</v>
      </c>
      <c r="L36" s="22"/>
      <c r="M36" s="22">
        <v>23901.87</v>
      </c>
      <c r="N36" s="43">
        <v>11985.6</v>
      </c>
      <c r="O36" s="42">
        <v>17580.48</v>
      </c>
      <c r="P36" s="42">
        <v>5845.9000000000005</v>
      </c>
      <c r="Q36" s="49">
        <v>164861.02000000002</v>
      </c>
      <c r="R36" s="39">
        <f>80897.83+11223.48</f>
        <v>92121.31</v>
      </c>
      <c r="S36" s="41">
        <f>127287.75+2250.05</f>
        <v>129537.8</v>
      </c>
      <c r="T36" s="41">
        <f>142914.48+4523.92</f>
        <v>147438.40000000002</v>
      </c>
      <c r="U36" s="16">
        <f t="shared" si="8"/>
        <v>17900.60000000002</v>
      </c>
      <c r="V36" s="45">
        <f t="shared" si="9"/>
        <v>0.13818823540310257</v>
      </c>
    </row>
    <row r="37" spans="1:22" x14ac:dyDescent="0.2">
      <c r="A37" s="3">
        <v>601304</v>
      </c>
      <c r="B37" s="3" t="s">
        <v>322</v>
      </c>
      <c r="C37" s="1">
        <v>612300</v>
      </c>
      <c r="D37" s="1" t="s">
        <v>25</v>
      </c>
      <c r="E37" s="22">
        <v>12798.400000000001</v>
      </c>
      <c r="F37" s="22">
        <v>16137.04</v>
      </c>
      <c r="G37" s="22">
        <v>6102.12</v>
      </c>
      <c r="H37" s="22">
        <v>47197.25</v>
      </c>
      <c r="I37" s="22">
        <v>28320</v>
      </c>
      <c r="J37" s="22">
        <v>26205.98</v>
      </c>
      <c r="K37" s="22">
        <v>25399.989999999998</v>
      </c>
      <c r="L37" s="22">
        <v>10236.59</v>
      </c>
      <c r="M37" s="22">
        <v>13028.57</v>
      </c>
      <c r="N37" s="43">
        <v>15706.25</v>
      </c>
      <c r="O37" s="42">
        <v>22700</v>
      </c>
      <c r="P37" s="42">
        <v>11911.130000000001</v>
      </c>
      <c r="Q37" s="49">
        <v>18000</v>
      </c>
      <c r="R37" s="39">
        <v>13500</v>
      </c>
      <c r="S37" s="41">
        <v>6600</v>
      </c>
      <c r="T37" s="41">
        <f>2400</f>
        <v>2400</v>
      </c>
      <c r="U37" s="16">
        <f t="shared" si="8"/>
        <v>-4200</v>
      </c>
      <c r="V37" s="45">
        <f t="shared" si="9"/>
        <v>-0.63636363636363635</v>
      </c>
    </row>
    <row r="38" spans="1:22" x14ac:dyDescent="0.2">
      <c r="A38" s="3">
        <v>601305</v>
      </c>
      <c r="B38" s="3" t="s">
        <v>323</v>
      </c>
      <c r="C38" s="1">
        <v>612305</v>
      </c>
      <c r="D38" s="1" t="s">
        <v>26</v>
      </c>
      <c r="E38" s="22"/>
      <c r="F38" s="22"/>
      <c r="G38" s="22"/>
      <c r="H38" s="22">
        <v>13737.91</v>
      </c>
      <c r="I38" s="22">
        <v>23424.43</v>
      </c>
      <c r="J38" s="22">
        <v>22699.94</v>
      </c>
      <c r="K38" s="22">
        <v>28560.07</v>
      </c>
      <c r="L38" s="22">
        <v>8354.8700000000008</v>
      </c>
      <c r="M38" s="22"/>
      <c r="N38" s="22"/>
      <c r="O38" s="22"/>
      <c r="P38" s="22"/>
      <c r="Q38" s="49">
        <v>1280</v>
      </c>
      <c r="R38" s="39">
        <v>18720</v>
      </c>
      <c r="S38" s="39"/>
      <c r="T38" s="39"/>
      <c r="U38" s="16">
        <f t="shared" si="8"/>
        <v>0</v>
      </c>
      <c r="V38" s="45" t="e">
        <f t="shared" si="9"/>
        <v>#DIV/0!</v>
      </c>
    </row>
    <row r="39" spans="1:22" x14ac:dyDescent="0.2">
      <c r="A39" s="3">
        <v>601400</v>
      </c>
      <c r="B39" s="3" t="s">
        <v>325</v>
      </c>
      <c r="C39" s="1">
        <v>612410</v>
      </c>
      <c r="D39" s="1" t="s">
        <v>27</v>
      </c>
      <c r="E39" s="22">
        <v>186879.28</v>
      </c>
      <c r="F39" s="22">
        <v>234890.73000000004</v>
      </c>
      <c r="G39" s="22">
        <v>255296.08000000002</v>
      </c>
      <c r="H39" s="22">
        <v>333407.42000000004</v>
      </c>
      <c r="I39" s="22">
        <v>355834.45999999996</v>
      </c>
      <c r="J39" s="22">
        <v>300216.5199999999</v>
      </c>
      <c r="K39" s="22">
        <v>328801.73</v>
      </c>
      <c r="L39" s="22">
        <v>326387.05000000005</v>
      </c>
      <c r="M39" s="22">
        <v>400731.77000000008</v>
      </c>
      <c r="N39" s="43">
        <v>448904.36000000004</v>
      </c>
      <c r="O39" s="42">
        <f>483338.3+14707.55</f>
        <v>498045.85</v>
      </c>
      <c r="P39" s="42">
        <f>472822.34+16105.54</f>
        <v>488927.88</v>
      </c>
      <c r="Q39" s="49">
        <f>532266.24+13933.78</f>
        <v>546200.02</v>
      </c>
      <c r="R39" s="39">
        <f>365540.02+40912.95</f>
        <v>406452.97000000003</v>
      </c>
      <c r="S39" s="41">
        <f>280732.74+35776.87</f>
        <v>316509.61</v>
      </c>
      <c r="T39" s="41">
        <f>153784.68+11032.58</f>
        <v>164817.25999999998</v>
      </c>
      <c r="U39" s="16">
        <f t="shared" si="8"/>
        <v>-151692.35</v>
      </c>
      <c r="V39" s="45">
        <f t="shared" si="9"/>
        <v>-0.47926617457207699</v>
      </c>
    </row>
    <row r="40" spans="1:22" x14ac:dyDescent="0.2">
      <c r="A40" s="3">
        <v>601401</v>
      </c>
      <c r="B40" s="3" t="s">
        <v>431</v>
      </c>
      <c r="C40" s="1">
        <v>612420</v>
      </c>
      <c r="D40" s="1" t="s">
        <v>28</v>
      </c>
      <c r="U40" s="16">
        <f t="shared" si="8"/>
        <v>0</v>
      </c>
      <c r="V40" s="45" t="e">
        <f t="shared" si="9"/>
        <v>#DIV/0!</v>
      </c>
    </row>
    <row r="41" spans="1:22" x14ac:dyDescent="0.2">
      <c r="A41" s="3">
        <v>601404</v>
      </c>
      <c r="B41" s="3" t="s">
        <v>327</v>
      </c>
      <c r="C41" s="1">
        <v>612510</v>
      </c>
      <c r="D41" s="1" t="s">
        <v>29</v>
      </c>
      <c r="E41" s="22">
        <v>20610.97</v>
      </c>
      <c r="F41" s="22">
        <v>31829.15</v>
      </c>
      <c r="G41" s="22">
        <v>20714.189999999999</v>
      </c>
      <c r="H41" s="22">
        <v>15812.3</v>
      </c>
      <c r="I41" s="22">
        <v>13435.62</v>
      </c>
      <c r="J41" s="22">
        <v>33919.64</v>
      </c>
      <c r="K41" s="22">
        <v>20372.02</v>
      </c>
      <c r="L41" s="22">
        <v>22931.88</v>
      </c>
      <c r="M41" s="22">
        <v>46327.75</v>
      </c>
      <c r="N41" s="43">
        <v>15783.47</v>
      </c>
      <c r="O41" s="42">
        <v>21628.69</v>
      </c>
      <c r="P41" s="42">
        <f>25826.85+74.39</f>
        <v>25901.239999999998</v>
      </c>
      <c r="Q41" s="42">
        <f>30789.26+256.47-0.01</f>
        <v>31045.72</v>
      </c>
      <c r="R41" s="42">
        <f>29145.9+596.67</f>
        <v>29742.57</v>
      </c>
      <c r="S41" s="42">
        <f>37301.86+1736.83</f>
        <v>39038.69</v>
      </c>
      <c r="T41" s="42">
        <f>64151.86+1332.13</f>
        <v>65483.99</v>
      </c>
      <c r="U41" s="16">
        <f t="shared" si="8"/>
        <v>26445.299999999996</v>
      </c>
      <c r="V41" s="45">
        <f t="shared" si="9"/>
        <v>0.67741258735884824</v>
      </c>
    </row>
    <row r="42" spans="1:22" x14ac:dyDescent="0.2">
      <c r="A42" s="3">
        <v>601405</v>
      </c>
      <c r="B42" s="3" t="s">
        <v>328</v>
      </c>
      <c r="C42" s="1">
        <v>612520</v>
      </c>
      <c r="D42" s="1" t="s">
        <v>30</v>
      </c>
      <c r="E42" s="22">
        <v>6870.39</v>
      </c>
      <c r="F42" s="22">
        <v>10609.76</v>
      </c>
      <c r="G42" s="22">
        <v>6904.8</v>
      </c>
      <c r="H42" s="22">
        <v>5270.86</v>
      </c>
      <c r="I42" s="22">
        <v>4478.58</v>
      </c>
      <c r="J42" s="22">
        <v>12106.54</v>
      </c>
      <c r="K42" s="22">
        <v>6790.79</v>
      </c>
      <c r="L42" s="22">
        <v>7644.09</v>
      </c>
      <c r="M42" s="22">
        <v>15442.57</v>
      </c>
      <c r="N42" s="43">
        <v>5261.38</v>
      </c>
      <c r="O42" s="42">
        <v>7215.92</v>
      </c>
      <c r="P42" s="42">
        <f>8609.09+24.8</f>
        <v>8633.89</v>
      </c>
      <c r="Q42" s="42">
        <f>10263.18+85.48</f>
        <v>10348.66</v>
      </c>
      <c r="R42" s="42">
        <f>9715.4+198.9</f>
        <v>9914.2999999999993</v>
      </c>
      <c r="S42" s="42">
        <f>12434.05+578.96</f>
        <v>13013.009999999998</v>
      </c>
      <c r="T42" s="42"/>
      <c r="U42" s="16">
        <f t="shared" si="8"/>
        <v>-13013.009999999998</v>
      </c>
      <c r="V42" s="45">
        <f t="shared" si="9"/>
        <v>-1</v>
      </c>
    </row>
    <row r="43" spans="1:22" x14ac:dyDescent="0.2">
      <c r="A43" s="3">
        <v>601406</v>
      </c>
      <c r="B43" s="3" t="s">
        <v>329</v>
      </c>
      <c r="C43" s="1">
        <v>612550</v>
      </c>
      <c r="D43" s="58" t="s">
        <v>310</v>
      </c>
      <c r="E43" s="22"/>
      <c r="F43" s="22"/>
      <c r="G43" s="22"/>
      <c r="H43" s="22"/>
      <c r="I43" s="22"/>
      <c r="J43" s="22"/>
      <c r="K43" s="22"/>
      <c r="L43" s="22"/>
      <c r="M43" s="22"/>
      <c r="N43" s="43"/>
      <c r="O43" s="42"/>
      <c r="P43" s="42">
        <v>1157.8700000000001</v>
      </c>
      <c r="Q43" s="49">
        <v>757.51</v>
      </c>
      <c r="R43" s="49"/>
      <c r="S43" s="49"/>
      <c r="T43" s="49"/>
      <c r="U43" s="16">
        <f t="shared" si="8"/>
        <v>0</v>
      </c>
      <c r="V43" s="45" t="e">
        <f t="shared" si="9"/>
        <v>#DIV/0!</v>
      </c>
    </row>
    <row r="44" spans="1:22" x14ac:dyDescent="0.2">
      <c r="A44" s="3">
        <v>601402</v>
      </c>
      <c r="B44" s="3" t="s">
        <v>326</v>
      </c>
      <c r="C44" s="1">
        <v>612600</v>
      </c>
      <c r="D44" s="1" t="s">
        <v>31</v>
      </c>
      <c r="E44" s="22">
        <v>148314.18</v>
      </c>
      <c r="F44" s="22">
        <v>111823.66999999998</v>
      </c>
      <c r="G44" s="22">
        <v>77707.42</v>
      </c>
      <c r="H44" s="22">
        <v>93417.600000000006</v>
      </c>
      <c r="I44" s="22">
        <v>198032.97999999998</v>
      </c>
      <c r="J44" s="22">
        <v>141561.45000000001</v>
      </c>
      <c r="K44" s="22">
        <v>204482.13999999998</v>
      </c>
      <c r="L44" s="22">
        <v>173262.95</v>
      </c>
      <c r="M44" s="22">
        <v>89398.71</v>
      </c>
      <c r="N44" s="43">
        <v>91902.890000000014</v>
      </c>
      <c r="O44" s="42">
        <v>121749.35999999999</v>
      </c>
      <c r="P44" s="42">
        <v>148293.25</v>
      </c>
      <c r="Q44" s="49">
        <v>169416.52000000002</v>
      </c>
      <c r="R44" s="39">
        <v>146210.04</v>
      </c>
      <c r="S44" s="41">
        <v>180600.95</v>
      </c>
      <c r="T44" s="41">
        <f>91554.82</f>
        <v>91554.82</v>
      </c>
      <c r="U44" s="16">
        <f t="shared" si="8"/>
        <v>-89046.13</v>
      </c>
      <c r="V44" s="45">
        <f t="shared" si="9"/>
        <v>-0.49305460464078399</v>
      </c>
    </row>
    <row r="45" spans="1:22" x14ac:dyDescent="0.2">
      <c r="A45" s="3">
        <v>601501</v>
      </c>
      <c r="B45" s="3" t="s">
        <v>32</v>
      </c>
      <c r="C45" s="1">
        <v>613100</v>
      </c>
      <c r="D45" s="1" t="s">
        <v>32</v>
      </c>
      <c r="E45" s="22">
        <v>264017.62</v>
      </c>
      <c r="F45" s="22">
        <v>226014.96</v>
      </c>
      <c r="G45" s="22">
        <v>234340.82999999996</v>
      </c>
      <c r="H45" s="22">
        <v>274183.79000000004</v>
      </c>
      <c r="I45" s="22">
        <v>277249.75000000006</v>
      </c>
      <c r="J45" s="22">
        <v>223118.74</v>
      </c>
      <c r="K45" s="22">
        <v>207956.57</v>
      </c>
      <c r="L45" s="22">
        <v>219656.18999999997</v>
      </c>
      <c r="M45" s="22">
        <v>193863.99999999997</v>
      </c>
      <c r="N45" s="43">
        <v>230383.84000000003</v>
      </c>
      <c r="O45" s="42">
        <f>288378.76+70088.85</f>
        <v>358467.61</v>
      </c>
      <c r="P45" s="42">
        <f>226949.99+68440.84</f>
        <v>295390.82999999996</v>
      </c>
      <c r="Q45" s="49">
        <f>283633.17+60132.89</f>
        <v>343766.06</v>
      </c>
      <c r="R45" s="39">
        <f>27390.21+117995.19</f>
        <v>145385.4</v>
      </c>
      <c r="S45" s="41">
        <f>25565.44+61068.35</f>
        <v>86633.79</v>
      </c>
      <c r="T45" s="41">
        <f>14522.43+58457.45</f>
        <v>72979.88</v>
      </c>
      <c r="U45" s="16">
        <f t="shared" si="8"/>
        <v>-13653.909999999989</v>
      </c>
      <c r="V45" s="45">
        <f t="shared" si="9"/>
        <v>-0.15760490219809142</v>
      </c>
    </row>
    <row r="46" spans="1:22" x14ac:dyDescent="0.2">
      <c r="A46" s="3">
        <v>601503</v>
      </c>
      <c r="B46" s="3" t="s">
        <v>33</v>
      </c>
      <c r="C46" s="1">
        <v>613210</v>
      </c>
      <c r="D46" s="1" t="s">
        <v>33</v>
      </c>
      <c r="E46" s="22">
        <v>64468.84</v>
      </c>
      <c r="F46" s="22">
        <v>68691.320000000007</v>
      </c>
      <c r="G46" s="22">
        <v>68863.05</v>
      </c>
      <c r="H46" s="22">
        <v>67026.320000000007</v>
      </c>
      <c r="I46" s="22">
        <v>61143.360000000001</v>
      </c>
      <c r="J46" s="22">
        <v>63339.64</v>
      </c>
      <c r="K46" s="22">
        <v>78068.160000000003</v>
      </c>
      <c r="L46" s="22">
        <v>79230.180000000008</v>
      </c>
      <c r="M46" s="22">
        <v>75925.320000000007</v>
      </c>
      <c r="N46" s="43">
        <v>75580.89</v>
      </c>
      <c r="O46" s="42">
        <f>72817.56+6148.48</f>
        <v>78966.039999999994</v>
      </c>
      <c r="P46" s="42">
        <f>73226.34+5718.86</f>
        <v>78945.2</v>
      </c>
      <c r="Q46" s="49">
        <f>73643.94+5424.07</f>
        <v>79068.010000000009</v>
      </c>
      <c r="R46" s="49">
        <f>14389.5</f>
        <v>14389.5</v>
      </c>
      <c r="S46" s="49">
        <f>13218.26</f>
        <v>13218.26</v>
      </c>
      <c r="T46" s="49">
        <v>13528.03</v>
      </c>
      <c r="U46" s="16">
        <f t="shared" si="8"/>
        <v>309.77000000000044</v>
      </c>
      <c r="V46" s="45">
        <f t="shared" si="9"/>
        <v>2.3435005817709777E-2</v>
      </c>
    </row>
    <row r="47" spans="1:22" x14ac:dyDescent="0.2">
      <c r="A47" s="3">
        <v>601504</v>
      </c>
      <c r="B47" s="3" t="s">
        <v>332</v>
      </c>
      <c r="C47" s="57">
        <v>613215</v>
      </c>
      <c r="D47" s="57" t="s">
        <v>275</v>
      </c>
      <c r="E47" s="22">
        <v>374.5</v>
      </c>
      <c r="F47" s="22"/>
      <c r="G47" s="22"/>
      <c r="H47" s="22">
        <v>205.6</v>
      </c>
      <c r="I47" s="22">
        <v>241.60000000000002</v>
      </c>
      <c r="J47" s="22">
        <v>332.35</v>
      </c>
      <c r="K47" s="22">
        <v>226.10000000000002</v>
      </c>
      <c r="L47" s="22">
        <v>639.20000000000005</v>
      </c>
      <c r="M47" s="22">
        <v>264.35000000000002</v>
      </c>
      <c r="N47" s="43">
        <v>372.3</v>
      </c>
      <c r="O47" s="42">
        <f>53.55+358.01</f>
        <v>411.56</v>
      </c>
      <c r="P47" s="42">
        <f>538.38</f>
        <v>538.38</v>
      </c>
      <c r="Q47" s="42">
        <f>525.86</f>
        <v>525.86</v>
      </c>
      <c r="R47" s="42">
        <f>609.31</f>
        <v>609.30999999999995</v>
      </c>
      <c r="S47" s="42">
        <f>368.2</f>
        <v>368.2</v>
      </c>
      <c r="T47" s="42">
        <v>246.55</v>
      </c>
      <c r="U47" s="16">
        <f t="shared" si="8"/>
        <v>-121.64999999999998</v>
      </c>
      <c r="V47" s="45">
        <f t="shared" si="9"/>
        <v>-0.33039109179793585</v>
      </c>
    </row>
    <row r="48" spans="1:22" x14ac:dyDescent="0.2">
      <c r="A48" s="3">
        <v>601502</v>
      </c>
      <c r="B48" s="3" t="s">
        <v>331</v>
      </c>
      <c r="C48" s="1">
        <v>613220</v>
      </c>
      <c r="D48" s="1" t="s">
        <v>34</v>
      </c>
      <c r="E48" s="22">
        <v>31211.590000000007</v>
      </c>
      <c r="F48" s="22">
        <v>26697.37</v>
      </c>
      <c r="G48" s="22">
        <v>31364.77</v>
      </c>
      <c r="H48" s="22">
        <v>27356.15</v>
      </c>
      <c r="I48" s="22">
        <v>27022.29</v>
      </c>
      <c r="J48" s="22">
        <v>25931.98</v>
      </c>
      <c r="K48" s="22">
        <v>29238.78</v>
      </c>
      <c r="L48" s="22">
        <v>32499.260000000002</v>
      </c>
      <c r="M48" s="22">
        <v>39739.369999999995</v>
      </c>
      <c r="N48" s="43">
        <v>43663.740000000005</v>
      </c>
      <c r="O48" s="42">
        <f>40514.57+2408.81</f>
        <v>42923.38</v>
      </c>
      <c r="P48" s="42">
        <f>38142.65+2293.62</f>
        <v>40436.270000000004</v>
      </c>
      <c r="Q48" s="49">
        <f>34453.69+2207.31</f>
        <v>36661</v>
      </c>
      <c r="R48" s="39">
        <f>114.04+6770.88</f>
        <v>6884.92</v>
      </c>
      <c r="S48" s="41">
        <f>84.96+6855.27</f>
        <v>6940.2300000000005</v>
      </c>
      <c r="T48" s="41">
        <v>7204.02</v>
      </c>
      <c r="U48" s="16">
        <f t="shared" si="8"/>
        <v>263.78999999999996</v>
      </c>
      <c r="V48" s="45">
        <f t="shared" si="9"/>
        <v>3.8008826796806436E-2</v>
      </c>
    </row>
    <row r="49" spans="1:22" x14ac:dyDescent="0.2">
      <c r="A49" s="3">
        <v>601509</v>
      </c>
      <c r="B49" s="3" t="s">
        <v>35</v>
      </c>
      <c r="C49" s="1">
        <v>613235</v>
      </c>
      <c r="D49" s="1" t="s">
        <v>35</v>
      </c>
      <c r="E49" s="22">
        <v>18439.260000000002</v>
      </c>
      <c r="F49" s="22">
        <v>10893.23</v>
      </c>
      <c r="G49" s="22">
        <v>27961.46</v>
      </c>
      <c r="H49" s="22"/>
      <c r="I49" s="22"/>
      <c r="J49" s="22">
        <v>4515.7299999999996</v>
      </c>
      <c r="K49" s="22">
        <v>650.77</v>
      </c>
      <c r="L49" s="22">
        <v>5400</v>
      </c>
      <c r="M49" s="22"/>
      <c r="N49" s="43">
        <v>7000</v>
      </c>
      <c r="O49" s="42">
        <v>7944.1500000000005</v>
      </c>
      <c r="P49" s="42">
        <v>20689.920000000002</v>
      </c>
      <c r="Q49" s="42"/>
      <c r="R49" s="39">
        <v>20000</v>
      </c>
      <c r="S49" s="41">
        <f>10000+138.12</f>
        <v>10138.120000000001</v>
      </c>
      <c r="T49" s="41">
        <v>1399.89</v>
      </c>
      <c r="U49" s="16">
        <f t="shared" si="8"/>
        <v>-8738.2300000000014</v>
      </c>
      <c r="V49" s="45">
        <f t="shared" si="9"/>
        <v>-0.86191818601476411</v>
      </c>
    </row>
    <row r="50" spans="1:22" x14ac:dyDescent="0.2">
      <c r="A50" s="3">
        <v>601513</v>
      </c>
      <c r="B50" s="3" t="s">
        <v>432</v>
      </c>
      <c r="C50" s="1">
        <v>613400</v>
      </c>
      <c r="D50" s="1" t="s">
        <v>36</v>
      </c>
      <c r="E50" s="22">
        <v>34689.600000000006</v>
      </c>
      <c r="F50" s="22">
        <v>115776.41000000002</v>
      </c>
      <c r="G50" s="22">
        <v>133560.78999999998</v>
      </c>
      <c r="H50" s="22">
        <v>30324.400000000009</v>
      </c>
      <c r="I50" s="22">
        <v>139791.08000000002</v>
      </c>
      <c r="J50" s="22">
        <v>56796.150000000009</v>
      </c>
      <c r="K50" s="22">
        <v>125350.8</v>
      </c>
      <c r="L50" s="22">
        <v>80898.780000000013</v>
      </c>
      <c r="M50" s="22">
        <v>205417.70000000004</v>
      </c>
      <c r="N50" s="43">
        <v>727146.86</v>
      </c>
      <c r="O50" s="42">
        <f>65471.36+(-951.62)</f>
        <v>64519.74</v>
      </c>
      <c r="P50" s="42">
        <f>-179247.53+(-3038.07)</f>
        <v>-182285.6</v>
      </c>
      <c r="Q50" s="49">
        <f>-195726.26+(-6968.51)</f>
        <v>-202694.77000000002</v>
      </c>
      <c r="R50" s="39">
        <f>196905.6+15264.84</f>
        <v>212170.44</v>
      </c>
      <c r="S50" s="41">
        <f>522017.9+(-5205.44)</f>
        <v>516812.46</v>
      </c>
      <c r="T50" s="41">
        <f>119212.32+13976.5</f>
        <v>133188.82</v>
      </c>
      <c r="U50" s="16">
        <f t="shared" si="8"/>
        <v>-383623.64</v>
      </c>
      <c r="V50" s="45">
        <f t="shared" si="9"/>
        <v>-0.74228790846103054</v>
      </c>
    </row>
    <row r="51" spans="1:22" x14ac:dyDescent="0.2">
      <c r="A51" s="3">
        <v>601508</v>
      </c>
      <c r="B51" s="3" t="s">
        <v>307</v>
      </c>
      <c r="C51" s="1">
        <v>613410</v>
      </c>
      <c r="D51" s="1" t="s">
        <v>37</v>
      </c>
      <c r="E51" s="22"/>
      <c r="F51" s="22"/>
      <c r="G51" s="22"/>
      <c r="H51" s="22">
        <v>204359.46</v>
      </c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16">
        <f t="shared" si="8"/>
        <v>0</v>
      </c>
      <c r="V51" s="45" t="e">
        <f t="shared" si="9"/>
        <v>#DIV/0!</v>
      </c>
    </row>
    <row r="52" spans="1:22" x14ac:dyDescent="0.2">
      <c r="A52" s="3">
        <v>601514</v>
      </c>
      <c r="B52" s="3" t="s">
        <v>433</v>
      </c>
      <c r="C52" s="57">
        <v>613500</v>
      </c>
      <c r="D52" s="57" t="s">
        <v>282</v>
      </c>
      <c r="E52" s="22"/>
      <c r="F52" s="22">
        <v>11028.16</v>
      </c>
      <c r="G52" s="22">
        <v>12129.59</v>
      </c>
      <c r="H52" s="22">
        <v>13496.98</v>
      </c>
      <c r="I52" s="22">
        <v>25000</v>
      </c>
      <c r="J52" s="22"/>
      <c r="K52" s="22"/>
      <c r="L52" s="22"/>
      <c r="M52" s="22">
        <v>100000</v>
      </c>
      <c r="N52" s="43">
        <v>25000</v>
      </c>
      <c r="O52" s="42">
        <v>25000</v>
      </c>
      <c r="P52" s="42"/>
      <c r="Q52" s="42"/>
      <c r="R52" s="42"/>
      <c r="S52" s="42"/>
      <c r="T52" s="42"/>
      <c r="U52" s="16">
        <f t="shared" si="8"/>
        <v>0</v>
      </c>
      <c r="V52" s="45" t="e">
        <f t="shared" si="9"/>
        <v>#DIV/0!</v>
      </c>
    </row>
    <row r="53" spans="1:22" x14ac:dyDescent="0.2">
      <c r="A53" s="3">
        <v>601500</v>
      </c>
      <c r="B53" s="3" t="s">
        <v>330</v>
      </c>
      <c r="C53" s="1">
        <v>621100</v>
      </c>
      <c r="D53" s="1" t="s">
        <v>38</v>
      </c>
      <c r="E53" s="22">
        <v>120111.21</v>
      </c>
      <c r="F53" s="22">
        <v>117835.64</v>
      </c>
      <c r="G53" s="22">
        <v>120422.70999999999</v>
      </c>
      <c r="H53" s="22">
        <v>145260.52000000002</v>
      </c>
      <c r="I53" s="22">
        <v>130425.03999999998</v>
      </c>
      <c r="J53" s="22">
        <v>135756.30000000002</v>
      </c>
      <c r="K53" s="22">
        <v>128985.27000000002</v>
      </c>
      <c r="L53" s="22">
        <v>121310.88</v>
      </c>
      <c r="M53" s="22">
        <v>144687.72</v>
      </c>
      <c r="N53" s="43">
        <v>172974.85000000003</v>
      </c>
      <c r="O53" s="42">
        <f>186801.09+4922.52</f>
        <v>191723.61</v>
      </c>
      <c r="P53" s="42">
        <f>185519.65+4590.41</f>
        <v>190110.06</v>
      </c>
      <c r="Q53" s="49">
        <f>164064.69+4941.41</f>
        <v>169006.1</v>
      </c>
      <c r="R53" s="39">
        <f>190753.01+11326.48</f>
        <v>202079.49000000002</v>
      </c>
      <c r="S53" s="41">
        <f>206021.78+11657.24</f>
        <v>217679.02</v>
      </c>
      <c r="T53" s="41">
        <f>212671.82+10989.63</f>
        <v>223661.45</v>
      </c>
      <c r="U53" s="16">
        <f t="shared" si="8"/>
        <v>5982.4300000000221</v>
      </c>
      <c r="V53" s="45">
        <f t="shared" si="9"/>
        <v>2.7482804727805291E-2</v>
      </c>
    </row>
    <row r="54" spans="1:22" x14ac:dyDescent="0.2">
      <c r="A54" s="3">
        <v>601500</v>
      </c>
      <c r="B54" s="3" t="s">
        <v>330</v>
      </c>
      <c r="C54" s="1">
        <v>621110</v>
      </c>
      <c r="D54" s="1" t="s">
        <v>39</v>
      </c>
      <c r="U54" s="16">
        <f t="shared" si="8"/>
        <v>0</v>
      </c>
      <c r="V54" s="45" t="e">
        <f t="shared" si="9"/>
        <v>#DIV/0!</v>
      </c>
    </row>
    <row r="55" spans="1:22" x14ac:dyDescent="0.2">
      <c r="A55" s="3">
        <v>601500</v>
      </c>
      <c r="B55" s="3" t="s">
        <v>330</v>
      </c>
      <c r="C55" s="1">
        <v>621120</v>
      </c>
      <c r="D55" s="1" t="s">
        <v>40</v>
      </c>
      <c r="U55" s="16">
        <f t="shared" si="8"/>
        <v>0</v>
      </c>
      <c r="V55" s="45" t="e">
        <f t="shared" si="9"/>
        <v>#DIV/0!</v>
      </c>
    </row>
    <row r="56" spans="1:22" x14ac:dyDescent="0.2">
      <c r="A56" s="3">
        <v>601500</v>
      </c>
      <c r="B56" s="3" t="s">
        <v>330</v>
      </c>
      <c r="C56" s="1">
        <v>621130</v>
      </c>
      <c r="D56" s="1" t="s">
        <v>41</v>
      </c>
      <c r="E56" s="22">
        <v>6990.42</v>
      </c>
      <c r="F56" s="22">
        <v>7366.26</v>
      </c>
      <c r="G56" s="22">
        <v>8208.4500000000007</v>
      </c>
      <c r="H56" s="22">
        <v>8375.2999999999993</v>
      </c>
      <c r="I56" s="22">
        <v>8304.52</v>
      </c>
      <c r="J56" s="22">
        <v>6578.01</v>
      </c>
      <c r="K56" s="22">
        <v>10817.68</v>
      </c>
      <c r="L56" s="22">
        <v>6490.6</v>
      </c>
      <c r="M56" s="22"/>
      <c r="N56" s="22"/>
      <c r="O56" s="22"/>
      <c r="P56" s="22"/>
      <c r="Q56" s="22"/>
      <c r="R56" s="22"/>
      <c r="S56" s="22"/>
      <c r="T56" s="22"/>
      <c r="U56" s="16">
        <f t="shared" si="8"/>
        <v>0</v>
      </c>
      <c r="V56" s="45" t="e">
        <f t="shared" si="9"/>
        <v>#DIV/0!</v>
      </c>
    </row>
    <row r="57" spans="1:22" x14ac:dyDescent="0.2">
      <c r="A57" s="3">
        <v>601500</v>
      </c>
      <c r="B57" s="3" t="s">
        <v>330</v>
      </c>
      <c r="C57" s="1">
        <v>621140</v>
      </c>
      <c r="D57" s="1" t="s">
        <v>42</v>
      </c>
      <c r="E57" s="22">
        <v>32033.5</v>
      </c>
      <c r="F57" s="22">
        <v>37763.769999999997</v>
      </c>
      <c r="G57" s="22">
        <v>50949.469999999994</v>
      </c>
      <c r="H57" s="22">
        <v>62095.479999999996</v>
      </c>
      <c r="I57" s="22">
        <v>75309.62</v>
      </c>
      <c r="J57" s="22">
        <v>81769.389999999985</v>
      </c>
      <c r="K57" s="22">
        <v>81315.590000000011</v>
      </c>
      <c r="L57" s="22">
        <v>68935.31</v>
      </c>
      <c r="M57" s="22">
        <v>54534.42</v>
      </c>
      <c r="N57" s="43">
        <v>52824.25</v>
      </c>
      <c r="O57" s="42">
        <f>41773.73+4507.8</f>
        <v>46281.530000000006</v>
      </c>
      <c r="P57" s="42">
        <f>36030.61+3299.51</f>
        <v>39330.120000000003</v>
      </c>
      <c r="Q57" s="49">
        <f>35016.14+4018.13</f>
        <v>39034.269999999997</v>
      </c>
      <c r="R57" s="49"/>
      <c r="S57" s="49"/>
      <c r="T57" s="49"/>
      <c r="U57" s="16">
        <f t="shared" si="8"/>
        <v>0</v>
      </c>
      <c r="V57" s="45" t="e">
        <f t="shared" si="9"/>
        <v>#DIV/0!</v>
      </c>
    </row>
    <row r="58" spans="1:22" x14ac:dyDescent="0.2">
      <c r="A58" s="3">
        <v>601500</v>
      </c>
      <c r="B58" s="3" t="s">
        <v>330</v>
      </c>
      <c r="C58" s="1">
        <v>621150</v>
      </c>
      <c r="D58" s="1" t="s">
        <v>43</v>
      </c>
      <c r="E58" s="22">
        <v>11973.240000000002</v>
      </c>
      <c r="F58" s="22">
        <v>9929.41</v>
      </c>
      <c r="G58" s="22">
        <v>7967.5500000000011</v>
      </c>
      <c r="H58" s="22">
        <v>12513.68</v>
      </c>
      <c r="I58" s="22">
        <v>12853.269999999999</v>
      </c>
      <c r="J58" s="22">
        <v>11990.210000000001</v>
      </c>
      <c r="K58" s="22">
        <v>7167.57</v>
      </c>
      <c r="L58" s="22">
        <v>6408.5</v>
      </c>
      <c r="M58" s="22">
        <v>5568.93</v>
      </c>
      <c r="N58" s="43">
        <v>1423.8500000000001</v>
      </c>
      <c r="O58" s="22"/>
      <c r="P58" s="22">
        <f>723.75</f>
        <v>723.75</v>
      </c>
      <c r="Q58" s="22"/>
      <c r="R58" s="22"/>
      <c r="S58" s="22"/>
      <c r="T58" s="22"/>
      <c r="U58" s="16">
        <f t="shared" si="8"/>
        <v>0</v>
      </c>
      <c r="V58" s="45" t="e">
        <f t="shared" si="9"/>
        <v>#DIV/0!</v>
      </c>
    </row>
    <row r="59" spans="1:22" x14ac:dyDescent="0.2">
      <c r="A59" s="3">
        <v>601505</v>
      </c>
      <c r="B59" s="3" t="s">
        <v>333</v>
      </c>
      <c r="C59" s="1">
        <v>622100</v>
      </c>
      <c r="D59" s="1" t="s">
        <v>44</v>
      </c>
      <c r="E59" s="22">
        <v>48764.02</v>
      </c>
      <c r="F59" s="22">
        <v>76299.67</v>
      </c>
      <c r="G59" s="22">
        <v>4991.07</v>
      </c>
      <c r="H59" s="22">
        <v>41260.300000000003</v>
      </c>
      <c r="I59" s="22">
        <v>28512.880000000001</v>
      </c>
      <c r="J59" s="22">
        <v>88789.989999999991</v>
      </c>
      <c r="K59" s="22">
        <v>50257.369999999995</v>
      </c>
      <c r="L59" s="22">
        <v>7316.15</v>
      </c>
      <c r="M59" s="22">
        <v>60883.020000000004</v>
      </c>
      <c r="N59" s="43">
        <v>509.04</v>
      </c>
      <c r="O59" s="42">
        <f>110849.4+8645.32</f>
        <v>119494.72</v>
      </c>
      <c r="P59" s="42">
        <f>89715.89+4104.28</f>
        <v>93820.17</v>
      </c>
      <c r="Q59" s="49">
        <f>237733.13+3300.39</f>
        <v>241033.52000000002</v>
      </c>
      <c r="R59" s="39">
        <f>93944.04+11277.91</f>
        <v>105221.95</v>
      </c>
      <c r="S59" s="41">
        <f>219179.83+25514.73</f>
        <v>244694.56</v>
      </c>
      <c r="T59" s="41">
        <f>229450.98+15003.38</f>
        <v>244454.36000000002</v>
      </c>
      <c r="U59" s="16">
        <f t="shared" si="8"/>
        <v>-240.19999999998254</v>
      </c>
      <c r="V59" s="45">
        <f t="shared" si="9"/>
        <v>-9.8163195781705371E-4</v>
      </c>
    </row>
    <row r="60" spans="1:22" x14ac:dyDescent="0.2">
      <c r="A60" s="3">
        <v>601505</v>
      </c>
      <c r="B60" s="3" t="s">
        <v>333</v>
      </c>
      <c r="C60" s="1">
        <v>622130</v>
      </c>
      <c r="D60" s="58" t="s">
        <v>179</v>
      </c>
      <c r="E60" s="22"/>
      <c r="F60" s="22"/>
      <c r="G60" s="22"/>
      <c r="H60" s="22"/>
      <c r="I60" s="22"/>
      <c r="J60" s="22"/>
      <c r="K60" s="22"/>
      <c r="L60" s="22"/>
      <c r="M60" s="22"/>
      <c r="N60" s="43"/>
      <c r="O60" s="42"/>
      <c r="P60" s="42">
        <v>65793.600000000006</v>
      </c>
      <c r="Q60" s="42"/>
      <c r="R60" s="42"/>
      <c r="S60" s="42"/>
      <c r="T60" s="42"/>
      <c r="U60" s="16">
        <f t="shared" si="8"/>
        <v>0</v>
      </c>
      <c r="V60" s="45" t="e">
        <f t="shared" si="9"/>
        <v>#DIV/0!</v>
      </c>
    </row>
    <row r="61" spans="1:22" x14ac:dyDescent="0.2">
      <c r="A61" s="3">
        <v>601505</v>
      </c>
      <c r="B61" s="3" t="s">
        <v>333</v>
      </c>
      <c r="C61" s="1">
        <v>622140</v>
      </c>
      <c r="D61" s="1" t="s">
        <v>45</v>
      </c>
      <c r="E61" s="22">
        <v>43160.350000000006</v>
      </c>
      <c r="F61" s="22">
        <v>31879.71</v>
      </c>
      <c r="G61" s="22">
        <v>82064.61</v>
      </c>
      <c r="H61" s="22">
        <v>9694.2800000000007</v>
      </c>
      <c r="I61" s="22">
        <v>33998.509999999995</v>
      </c>
      <c r="J61" s="22">
        <v>58226.99</v>
      </c>
      <c r="K61" s="22">
        <v>20953.310000000001</v>
      </c>
      <c r="L61" s="22">
        <v>54168.75</v>
      </c>
      <c r="M61" s="22">
        <v>4525.18</v>
      </c>
      <c r="N61" s="43">
        <v>23303.920000000002</v>
      </c>
      <c r="O61" s="42">
        <v>23747.52</v>
      </c>
      <c r="P61" s="42">
        <v>53937.840000000004</v>
      </c>
      <c r="Q61" s="49">
        <f>127928.56+8158.59</f>
        <v>136087.15</v>
      </c>
      <c r="R61" s="49"/>
      <c r="S61" s="49"/>
      <c r="T61" s="49"/>
      <c r="U61" s="16">
        <f t="shared" si="8"/>
        <v>0</v>
      </c>
      <c r="V61" s="45" t="e">
        <f t="shared" si="9"/>
        <v>#DIV/0!</v>
      </c>
    </row>
    <row r="62" spans="1:22" x14ac:dyDescent="0.2">
      <c r="A62" s="3">
        <v>601505</v>
      </c>
      <c r="B62" s="3" t="s">
        <v>333</v>
      </c>
      <c r="C62" s="57">
        <v>622150</v>
      </c>
      <c r="D62" s="57" t="s">
        <v>180</v>
      </c>
      <c r="E62" s="22">
        <v>2539.19</v>
      </c>
      <c r="F62" s="22">
        <v>60609.520000000004</v>
      </c>
      <c r="G62" s="22"/>
      <c r="H62" s="22"/>
      <c r="I62" s="22"/>
      <c r="J62" s="22"/>
      <c r="K62" s="22"/>
      <c r="L62" s="22"/>
      <c r="M62" s="22"/>
      <c r="N62" s="22"/>
      <c r="O62" s="22"/>
      <c r="P62" s="22">
        <v>150804.36000000002</v>
      </c>
      <c r="Q62" s="22"/>
      <c r="R62" s="22"/>
      <c r="S62" s="22"/>
      <c r="T62" s="22"/>
      <c r="U62" s="16">
        <f t="shared" si="8"/>
        <v>0</v>
      </c>
      <c r="V62" s="45" t="e">
        <f t="shared" si="9"/>
        <v>#DIV/0!</v>
      </c>
    </row>
    <row r="63" spans="1:22" x14ac:dyDescent="0.2">
      <c r="A63" s="3">
        <v>601506</v>
      </c>
      <c r="B63" s="3" t="s">
        <v>334</v>
      </c>
      <c r="C63" s="1">
        <v>623100</v>
      </c>
      <c r="D63" s="1" t="s">
        <v>46</v>
      </c>
      <c r="E63" s="22">
        <v>22870.41</v>
      </c>
      <c r="F63" s="22">
        <v>14795.86</v>
      </c>
      <c r="G63" s="22">
        <v>5969.51</v>
      </c>
      <c r="H63" s="22">
        <v>33977.68</v>
      </c>
      <c r="I63" s="22">
        <v>5535.97</v>
      </c>
      <c r="J63" s="22">
        <v>43198.34</v>
      </c>
      <c r="K63" s="22">
        <v>45033.120000000003</v>
      </c>
      <c r="L63" s="22"/>
      <c r="M63" s="22">
        <v>23714.260000000002</v>
      </c>
      <c r="N63" s="43">
        <v>91.81</v>
      </c>
      <c r="O63" s="42">
        <f>36637.38+3268.98</f>
        <v>39906.36</v>
      </c>
      <c r="P63" s="42">
        <f>38031.78+951.35</f>
        <v>38983.129999999997</v>
      </c>
      <c r="Q63" s="49">
        <f>148239.18+1110.53</f>
        <v>149349.71</v>
      </c>
      <c r="R63" s="39">
        <f>19920.89+3003.13</f>
        <v>22924.02</v>
      </c>
      <c r="S63" s="41">
        <f>53896.25+8279.8</f>
        <v>62176.05</v>
      </c>
      <c r="T63" s="41">
        <f>84199.29+4108.53</f>
        <v>88307.819999999992</v>
      </c>
      <c r="U63" s="16">
        <f t="shared" si="8"/>
        <v>26131.76999999999</v>
      </c>
      <c r="V63" s="45">
        <f t="shared" si="9"/>
        <v>0.4202867502840722</v>
      </c>
    </row>
    <row r="64" spans="1:22" x14ac:dyDescent="0.2">
      <c r="A64" s="3">
        <v>601506</v>
      </c>
      <c r="B64" s="3" t="s">
        <v>334</v>
      </c>
      <c r="C64" s="1">
        <v>623110</v>
      </c>
      <c r="D64" s="1" t="s">
        <v>47</v>
      </c>
      <c r="E64" s="22"/>
      <c r="F64" s="22">
        <v>58.82</v>
      </c>
      <c r="G64" s="22"/>
      <c r="H64" s="22"/>
      <c r="I64" s="22"/>
      <c r="J64" s="22"/>
      <c r="K64" s="22"/>
      <c r="L64" s="22"/>
      <c r="M64" s="22"/>
      <c r="N64" s="22"/>
      <c r="O64" s="42"/>
      <c r="P64" s="42"/>
      <c r="Q64" s="42"/>
      <c r="R64" s="42"/>
      <c r="S64" s="42"/>
      <c r="T64" s="42"/>
      <c r="U64" s="16">
        <f t="shared" si="8"/>
        <v>0</v>
      </c>
      <c r="V64" s="45" t="e">
        <f t="shared" si="9"/>
        <v>#DIV/0!</v>
      </c>
    </row>
    <row r="65" spans="1:22" x14ac:dyDescent="0.2">
      <c r="A65" s="3">
        <v>601506</v>
      </c>
      <c r="B65" s="3" t="s">
        <v>334</v>
      </c>
      <c r="C65" s="1">
        <v>623120</v>
      </c>
      <c r="D65" s="1" t="s">
        <v>48</v>
      </c>
      <c r="U65" s="16">
        <f t="shared" si="8"/>
        <v>0</v>
      </c>
      <c r="V65" s="45" t="e">
        <f t="shared" si="9"/>
        <v>#DIV/0!</v>
      </c>
    </row>
    <row r="66" spans="1:22" x14ac:dyDescent="0.2">
      <c r="A66" s="3">
        <v>601506</v>
      </c>
      <c r="B66" s="3" t="s">
        <v>334</v>
      </c>
      <c r="C66" s="1">
        <v>623140</v>
      </c>
      <c r="D66" s="1" t="s">
        <v>49</v>
      </c>
      <c r="P66" s="42">
        <v>32896.800000000003</v>
      </c>
      <c r="Q66" s="42"/>
      <c r="R66" s="42"/>
      <c r="S66" s="42"/>
      <c r="T66" s="42"/>
      <c r="U66" s="16">
        <f t="shared" si="8"/>
        <v>0</v>
      </c>
      <c r="V66" s="45" t="e">
        <f t="shared" si="9"/>
        <v>#DIV/0!</v>
      </c>
    </row>
    <row r="67" spans="1:22" x14ac:dyDescent="0.2">
      <c r="A67" s="3">
        <v>601506</v>
      </c>
      <c r="B67" s="3" t="s">
        <v>334</v>
      </c>
      <c r="C67" s="1">
        <v>623150</v>
      </c>
      <c r="D67" s="1" t="s">
        <v>50</v>
      </c>
      <c r="E67" s="22">
        <v>2038.32</v>
      </c>
      <c r="F67" s="22">
        <v>-291.36</v>
      </c>
      <c r="G67" s="22">
        <v>6491.93</v>
      </c>
      <c r="H67" s="22">
        <v>4253.55</v>
      </c>
      <c r="I67" s="22"/>
      <c r="J67" s="22">
        <v>13061.11</v>
      </c>
      <c r="K67" s="22"/>
      <c r="L67" s="22"/>
      <c r="M67" s="22"/>
      <c r="N67" s="43">
        <v>9251.39</v>
      </c>
      <c r="O67" s="42">
        <v>5240.25</v>
      </c>
      <c r="P67" s="42">
        <v>9202.89</v>
      </c>
      <c r="Q67" s="49">
        <f>47274.62+2275.57</f>
        <v>49550.19</v>
      </c>
      <c r="R67" s="49"/>
      <c r="S67" s="49"/>
      <c r="T67" s="49"/>
      <c r="U67" s="16">
        <f t="shared" si="8"/>
        <v>0</v>
      </c>
      <c r="V67" s="45" t="e">
        <f t="shared" si="9"/>
        <v>#DIV/0!</v>
      </c>
    </row>
    <row r="68" spans="1:22" x14ac:dyDescent="0.2">
      <c r="A68" s="3">
        <v>601506</v>
      </c>
      <c r="B68" s="3" t="s">
        <v>334</v>
      </c>
      <c r="C68" s="1">
        <v>623160</v>
      </c>
      <c r="D68" s="1" t="s">
        <v>51</v>
      </c>
      <c r="E68" s="22"/>
      <c r="F68" s="22">
        <v>23119.97</v>
      </c>
      <c r="G68" s="22"/>
      <c r="H68" s="22"/>
      <c r="I68" s="22"/>
      <c r="J68" s="22"/>
      <c r="K68" s="22"/>
      <c r="L68" s="22"/>
      <c r="M68" s="22"/>
      <c r="N68" s="22"/>
      <c r="O68" s="22"/>
      <c r="P68" s="22">
        <v>38543.08</v>
      </c>
      <c r="Q68" s="22"/>
      <c r="R68" s="22"/>
      <c r="S68" s="22"/>
      <c r="T68" s="22"/>
      <c r="U68" s="16">
        <f t="shared" si="8"/>
        <v>0</v>
      </c>
      <c r="V68" s="45" t="e">
        <f t="shared" si="9"/>
        <v>#DIV/0!</v>
      </c>
    </row>
    <row r="69" spans="1:22" x14ac:dyDescent="0.2">
      <c r="A69" s="3">
        <v>601508</v>
      </c>
      <c r="B69" s="3" t="s">
        <v>307</v>
      </c>
      <c r="C69" s="1">
        <v>624100</v>
      </c>
      <c r="D69" s="1" t="s">
        <v>52</v>
      </c>
      <c r="E69" s="22">
        <v>26400.41</v>
      </c>
      <c r="F69" s="22">
        <v>31366.07</v>
      </c>
      <c r="G69" s="22">
        <v>29306.010000000002</v>
      </c>
      <c r="H69" s="22">
        <v>41168.76</v>
      </c>
      <c r="I69" s="22">
        <v>28164</v>
      </c>
      <c r="J69" s="22">
        <v>25930.109999999997</v>
      </c>
      <c r="K69" s="22">
        <v>7341.02</v>
      </c>
      <c r="L69" s="22">
        <v>5685</v>
      </c>
      <c r="M69" s="22">
        <v>5345</v>
      </c>
      <c r="N69" s="43">
        <v>5345</v>
      </c>
      <c r="O69" s="42">
        <f>3885+67.37</f>
        <v>3952.37</v>
      </c>
      <c r="P69" s="42">
        <f>5825+1568.73</f>
        <v>7393.73</v>
      </c>
      <c r="Q69" s="49">
        <f>4041+431.07</f>
        <v>4472.07</v>
      </c>
      <c r="R69" s="39">
        <f>2000000+1308.11</f>
        <v>2001308.11</v>
      </c>
      <c r="S69" s="41">
        <f>-617375+1181.37</f>
        <v>-616193.63</v>
      </c>
      <c r="T69" s="41">
        <v>796.26</v>
      </c>
      <c r="U69" s="16">
        <f t="shared" si="8"/>
        <v>616989.89</v>
      </c>
      <c r="V69" s="45">
        <f t="shared" si="9"/>
        <v>-1.0012922236797548</v>
      </c>
    </row>
    <row r="70" spans="1:22" x14ac:dyDescent="0.2">
      <c r="A70" s="3">
        <v>601508</v>
      </c>
      <c r="B70" s="3" t="s">
        <v>307</v>
      </c>
      <c r="C70" s="1">
        <v>624120</v>
      </c>
      <c r="D70" s="1" t="s">
        <v>53</v>
      </c>
      <c r="E70" s="22"/>
      <c r="F70" s="22"/>
      <c r="G70" s="22">
        <v>418.02</v>
      </c>
      <c r="H70" s="22">
        <v>1892.58</v>
      </c>
      <c r="I70" s="22"/>
      <c r="J70" s="22">
        <v>5147.1100000000006</v>
      </c>
      <c r="K70" s="22">
        <v>6000</v>
      </c>
      <c r="L70" s="22"/>
      <c r="M70" s="22"/>
      <c r="N70" s="43">
        <v>16.670000000000002</v>
      </c>
      <c r="O70" s="42">
        <v>16.670000000000002</v>
      </c>
      <c r="P70" s="42"/>
      <c r="Q70" s="42"/>
      <c r="R70" s="42"/>
      <c r="S70" s="42"/>
      <c r="T70" s="42"/>
      <c r="U70" s="16">
        <f t="shared" si="8"/>
        <v>0</v>
      </c>
      <c r="V70" s="45" t="e">
        <f t="shared" si="9"/>
        <v>#DIV/0!</v>
      </c>
    </row>
    <row r="71" spans="1:22" x14ac:dyDescent="0.2">
      <c r="A71" s="3">
        <v>601508</v>
      </c>
      <c r="B71" s="3" t="s">
        <v>307</v>
      </c>
      <c r="C71" s="1">
        <v>624125</v>
      </c>
      <c r="D71" s="1" t="s">
        <v>54</v>
      </c>
      <c r="E71" s="22"/>
      <c r="F71" s="22"/>
      <c r="G71" s="22">
        <v>653.03</v>
      </c>
      <c r="H71" s="22"/>
      <c r="I71" s="22"/>
      <c r="J71" s="22"/>
      <c r="K71" s="22"/>
      <c r="L71" s="22"/>
      <c r="M71" s="22"/>
      <c r="N71" s="22"/>
      <c r="O71" s="22"/>
      <c r="P71" s="22"/>
      <c r="Q71" s="22"/>
      <c r="R71" s="22"/>
      <c r="S71" s="22"/>
      <c r="T71" s="22"/>
      <c r="U71" s="16">
        <f t="shared" si="8"/>
        <v>0</v>
      </c>
      <c r="V71" s="45" t="e">
        <f t="shared" si="9"/>
        <v>#DIV/0!</v>
      </c>
    </row>
    <row r="72" spans="1:22" x14ac:dyDescent="0.2">
      <c r="C72" s="3" t="s">
        <v>234</v>
      </c>
      <c r="D72" s="3" t="s">
        <v>235</v>
      </c>
      <c r="E72" s="22"/>
      <c r="F72" s="22"/>
      <c r="G72" s="22"/>
      <c r="H72" s="22"/>
      <c r="I72" s="22"/>
      <c r="J72" s="22"/>
      <c r="K72" s="22"/>
      <c r="L72" s="22"/>
      <c r="M72" s="22"/>
      <c r="N72" s="22">
        <v>7851.1</v>
      </c>
      <c r="O72" s="22">
        <v>27910</v>
      </c>
      <c r="P72" s="22"/>
      <c r="Q72" s="22"/>
      <c r="R72" s="22"/>
      <c r="S72" s="22"/>
      <c r="T72" s="22"/>
      <c r="U72" s="16">
        <f t="shared" si="8"/>
        <v>0</v>
      </c>
      <c r="V72" s="45" t="e">
        <f t="shared" si="9"/>
        <v>#DIV/0!</v>
      </c>
    </row>
    <row r="73" spans="1:22" x14ac:dyDescent="0.2">
      <c r="C73" s="1"/>
      <c r="D73" s="5" t="s">
        <v>230</v>
      </c>
      <c r="E73" s="6">
        <f>SUM(E27:E72)</f>
        <v>1899741.09</v>
      </c>
      <c r="F73" s="6">
        <f t="shared" ref="F73:T73" si="10">SUM(F27:F72)</f>
        <v>2131983.9399999995</v>
      </c>
      <c r="G73" s="6">
        <f t="shared" si="10"/>
        <v>2020688.5200000003</v>
      </c>
      <c r="H73" s="6">
        <f t="shared" si="10"/>
        <v>2247944.77</v>
      </c>
      <c r="I73" s="6">
        <f t="shared" si="10"/>
        <v>2283713.8400000003</v>
      </c>
      <c r="J73" s="6">
        <f t="shared" si="10"/>
        <v>2142871.1099999989</v>
      </c>
      <c r="K73" s="6">
        <f t="shared" si="10"/>
        <v>2070753.2900000005</v>
      </c>
      <c r="L73" s="6">
        <f t="shared" si="10"/>
        <v>1843841.29</v>
      </c>
      <c r="M73" s="6">
        <f t="shared" si="10"/>
        <v>2105504.9499999997</v>
      </c>
      <c r="N73" s="6">
        <f t="shared" si="10"/>
        <v>2630789.25</v>
      </c>
      <c r="O73" s="6">
        <f t="shared" si="10"/>
        <v>2374016.7599999998</v>
      </c>
      <c r="P73" s="6">
        <f t="shared" si="10"/>
        <v>2354326.8199999998</v>
      </c>
      <c r="Q73" s="6">
        <f t="shared" si="10"/>
        <v>2597862.1</v>
      </c>
      <c r="R73" s="6">
        <f t="shared" si="10"/>
        <v>3947712.17</v>
      </c>
      <c r="S73" s="6">
        <f t="shared" si="10"/>
        <v>1714361.8399999999</v>
      </c>
      <c r="T73" s="6">
        <f t="shared" si="10"/>
        <v>1671688.2400000005</v>
      </c>
      <c r="U73" s="17">
        <f>SUM(U27:U72)</f>
        <v>-42673.59999999986</v>
      </c>
      <c r="V73" s="45">
        <f t="shared" si="9"/>
        <v>-2.4891827970225856E-2</v>
      </c>
    </row>
    <row r="74" spans="1:22" x14ac:dyDescent="0.2">
      <c r="A74" s="3">
        <v>602400</v>
      </c>
      <c r="B74" s="3" t="s">
        <v>499</v>
      </c>
      <c r="C74" s="1">
        <v>625100</v>
      </c>
      <c r="D74" s="1" t="s">
        <v>55</v>
      </c>
      <c r="E74" s="22">
        <v>90098.12000000001</v>
      </c>
      <c r="F74" s="22">
        <v>86497.280000000013</v>
      </c>
      <c r="G74" s="22">
        <v>105398.81</v>
      </c>
      <c r="H74" s="22">
        <v>115773.06999999995</v>
      </c>
      <c r="I74" s="22">
        <v>125222.48999999999</v>
      </c>
      <c r="J74" s="22">
        <v>134792.01000000004</v>
      </c>
      <c r="K74" s="22">
        <v>148158.73000000001</v>
      </c>
      <c r="L74" s="22">
        <v>128155.99999999999</v>
      </c>
      <c r="M74" s="22">
        <v>127087.50999999998</v>
      </c>
      <c r="N74" s="42">
        <v>149718.29999999999</v>
      </c>
      <c r="O74" s="48">
        <f>97641.6+6137.17</f>
        <v>103778.77</v>
      </c>
      <c r="P74" s="48">
        <f>88357.04+5275.38</f>
        <v>93632.42</v>
      </c>
      <c r="Q74" s="49">
        <f>80557.59+4775.31</f>
        <v>85332.9</v>
      </c>
      <c r="R74" s="39">
        <f>58013.6+6875.7</f>
        <v>64889.299999999996</v>
      </c>
      <c r="S74" s="41">
        <f>69063.61+7817.68</f>
        <v>76881.290000000008</v>
      </c>
      <c r="T74" s="41">
        <f>71467.69+7138.09</f>
        <v>78605.78</v>
      </c>
      <c r="U74" s="16">
        <f t="shared" ref="U74:U87" si="11">T74-S74</f>
        <v>1724.4899999999907</v>
      </c>
      <c r="V74" s="45">
        <f t="shared" ref="V74:V90" si="12">U74/S74</f>
        <v>2.2430554950365562E-2</v>
      </c>
    </row>
    <row r="75" spans="1:22" x14ac:dyDescent="0.2">
      <c r="A75" s="3">
        <v>602500</v>
      </c>
      <c r="B75" s="3" t="s">
        <v>336</v>
      </c>
      <c r="C75" s="1">
        <v>626100</v>
      </c>
      <c r="D75" s="1" t="s">
        <v>56</v>
      </c>
      <c r="E75" s="22">
        <v>-14500.7</v>
      </c>
      <c r="F75" s="22">
        <v>6778.42</v>
      </c>
      <c r="G75" s="22">
        <v>-557.09</v>
      </c>
      <c r="H75" s="22">
        <v>2178.31</v>
      </c>
      <c r="I75" s="22">
        <v>6827.87</v>
      </c>
      <c r="J75" s="22">
        <v>-9512.7099999999991</v>
      </c>
      <c r="K75" s="22">
        <v>7036.83</v>
      </c>
      <c r="L75" s="22">
        <v>-3505.84</v>
      </c>
      <c r="M75" s="22">
        <v>9643.6200000000008</v>
      </c>
      <c r="N75" s="42">
        <f>3811.11+653.32</f>
        <v>4464.43</v>
      </c>
      <c r="O75" s="48">
        <f>1095.48+414.65+25.21</f>
        <v>1535.3400000000001</v>
      </c>
      <c r="P75" s="48">
        <f>1035.35+(-13.9)+185.47+(-0.02)</f>
        <v>1206.8999999999999</v>
      </c>
      <c r="Q75" s="49">
        <f>-2029.55+1675.08+14.51-0.01</f>
        <v>-339.97</v>
      </c>
      <c r="R75" s="39">
        <f>11338.88+161.93+1747.63-0.01</f>
        <v>13248.429999999998</v>
      </c>
      <c r="S75" s="41">
        <f>-4745.28+(-364.51)+2298.91+0.01</f>
        <v>-2810.87</v>
      </c>
      <c r="T75" s="41">
        <f>3530.44+1889.89+549.36+(-0.01)</f>
        <v>5969.6799999999994</v>
      </c>
      <c r="U75" s="16">
        <f t="shared" si="11"/>
        <v>8780.5499999999993</v>
      </c>
      <c r="V75" s="45">
        <f t="shared" si="12"/>
        <v>-3.1237837395539456</v>
      </c>
    </row>
    <row r="76" spans="1:22" x14ac:dyDescent="0.2">
      <c r="A76" s="3">
        <v>602100</v>
      </c>
      <c r="B76" s="3" t="s">
        <v>57</v>
      </c>
      <c r="C76" s="1">
        <v>626110</v>
      </c>
      <c r="D76" s="1" t="s">
        <v>57</v>
      </c>
      <c r="E76" s="22">
        <v>6942.74</v>
      </c>
      <c r="F76" s="22">
        <v>6468.1800000000012</v>
      </c>
      <c r="G76" s="22">
        <v>8252.7000000000025</v>
      </c>
      <c r="H76" s="22">
        <v>8680.59</v>
      </c>
      <c r="I76" s="22">
        <v>9763.7099999999973</v>
      </c>
      <c r="J76" s="22">
        <v>10094.629999999999</v>
      </c>
      <c r="K76" s="22">
        <v>10424.230000000005</v>
      </c>
      <c r="L76" s="22">
        <v>10336.170000000006</v>
      </c>
      <c r="M76" s="22">
        <v>12565.34</v>
      </c>
      <c r="N76" s="42">
        <v>11066.12</v>
      </c>
      <c r="O76" s="48">
        <f>10823.26+869.6</f>
        <v>11692.86</v>
      </c>
      <c r="P76" s="48">
        <f>10673.67+800.99</f>
        <v>11474.66</v>
      </c>
      <c r="Q76" s="49">
        <f>10479.69+755.66</f>
        <v>11235.35</v>
      </c>
      <c r="R76" s="39">
        <f>7401.76+1037.65</f>
        <v>8439.41</v>
      </c>
      <c r="S76" s="41">
        <f>8976.6+1447.03</f>
        <v>10423.630000000001</v>
      </c>
      <c r="T76" s="41">
        <f>9175.36+1554.17</f>
        <v>10729.53</v>
      </c>
      <c r="U76" s="16">
        <f t="shared" si="11"/>
        <v>305.89999999999964</v>
      </c>
      <c r="V76" s="45">
        <f t="shared" si="12"/>
        <v>2.9346782262992796E-2</v>
      </c>
    </row>
    <row r="77" spans="1:22" x14ac:dyDescent="0.2">
      <c r="A77" s="3">
        <v>602101</v>
      </c>
      <c r="B77" s="3" t="s">
        <v>58</v>
      </c>
      <c r="C77" s="1">
        <v>626120</v>
      </c>
      <c r="D77" s="1" t="s">
        <v>58</v>
      </c>
      <c r="E77" s="22">
        <v>1386212.4499999997</v>
      </c>
      <c r="F77" s="22">
        <v>1504401.4699999997</v>
      </c>
      <c r="G77" s="22">
        <v>1705359.8499999999</v>
      </c>
      <c r="H77" s="22">
        <v>1720301.2700000007</v>
      </c>
      <c r="I77" s="22">
        <v>1726046.9000000004</v>
      </c>
      <c r="J77" s="22">
        <v>1860658.8099999996</v>
      </c>
      <c r="K77" s="22">
        <v>1940604.28</v>
      </c>
      <c r="L77" s="22">
        <v>1963206.13</v>
      </c>
      <c r="M77" s="22">
        <v>2204195.37</v>
      </c>
      <c r="N77" s="42">
        <v>2469854.0699999998</v>
      </c>
      <c r="O77" s="48">
        <f>2545133.96+229375.44</f>
        <v>2774509.4</v>
      </c>
      <c r="P77" s="48">
        <f>2540287.3+223929.68</f>
        <v>2764216.98</v>
      </c>
      <c r="Q77" s="49">
        <f>2362468.15+210766.76</f>
        <v>2573234.91</v>
      </c>
      <c r="R77" s="39">
        <f>1674285.59+280430.99</f>
        <v>1954716.58</v>
      </c>
      <c r="S77" s="41">
        <f>1892971.95+328085.79</f>
        <v>2221057.7399999998</v>
      </c>
      <c r="T77" s="41">
        <f>1990155.95+333195.66</f>
        <v>2323351.61</v>
      </c>
      <c r="U77" s="16">
        <f t="shared" si="11"/>
        <v>102293.87000000011</v>
      </c>
      <c r="V77" s="45">
        <f t="shared" si="12"/>
        <v>4.6056375823890161E-2</v>
      </c>
    </row>
    <row r="78" spans="1:22" x14ac:dyDescent="0.2">
      <c r="A78" s="3">
        <v>602200</v>
      </c>
      <c r="B78" s="3" t="s">
        <v>59</v>
      </c>
      <c r="C78" s="1">
        <v>626130</v>
      </c>
      <c r="D78" s="1" t="s">
        <v>59</v>
      </c>
      <c r="E78" s="22">
        <v>28743.719999999994</v>
      </c>
      <c r="F78" s="22">
        <v>11837.779999999999</v>
      </c>
      <c r="G78" s="22">
        <v>10495.04</v>
      </c>
      <c r="H78" s="22">
        <v>12544.63</v>
      </c>
      <c r="I78" s="22">
        <v>33263.83</v>
      </c>
      <c r="J78" s="22">
        <v>20061</v>
      </c>
      <c r="K78" s="22">
        <v>24930.130000000005</v>
      </c>
      <c r="L78" s="22">
        <v>30844.530000000002</v>
      </c>
      <c r="M78" s="22">
        <v>15644.9</v>
      </c>
      <c r="N78" s="42">
        <v>20396.819999999996</v>
      </c>
      <c r="O78" s="48">
        <f>20106.8+1058.49</f>
        <v>21165.29</v>
      </c>
      <c r="P78" s="48">
        <f>9818.29+614.38</f>
        <v>10432.67</v>
      </c>
      <c r="Q78" s="49">
        <f>33904.01+2142.64</f>
        <v>36046.65</v>
      </c>
      <c r="R78" s="39">
        <f>20522.35+2590.11</f>
        <v>23112.46</v>
      </c>
      <c r="S78" s="41">
        <f>386.65+38.58</f>
        <v>425.22999999999996</v>
      </c>
      <c r="T78" s="41">
        <f>6938.55+750.51</f>
        <v>7689.06</v>
      </c>
      <c r="U78" s="16">
        <f t="shared" si="11"/>
        <v>7263.8300000000008</v>
      </c>
      <c r="V78" s="45">
        <f t="shared" si="12"/>
        <v>17.082120264327543</v>
      </c>
    </row>
    <row r="79" spans="1:22" x14ac:dyDescent="0.2">
      <c r="A79" s="3">
        <v>602300</v>
      </c>
      <c r="B79" s="3" t="s">
        <v>60</v>
      </c>
      <c r="C79" s="1">
        <v>626141</v>
      </c>
      <c r="D79" s="1" t="s">
        <v>60</v>
      </c>
      <c r="E79" s="22">
        <v>630860.6100000001</v>
      </c>
      <c r="F79" s="22">
        <v>639973.74000000022</v>
      </c>
      <c r="G79" s="22">
        <v>683931.02000000014</v>
      </c>
      <c r="H79" s="22">
        <v>709070.97000000009</v>
      </c>
      <c r="I79" s="22">
        <v>684783.71999999974</v>
      </c>
      <c r="J79" s="22">
        <v>714606.17999999993</v>
      </c>
      <c r="K79" s="22">
        <v>712721.21000000008</v>
      </c>
      <c r="L79" s="22">
        <v>707691.66000000038</v>
      </c>
      <c r="M79" s="22">
        <v>742190.90000000014</v>
      </c>
      <c r="N79" s="42">
        <v>785754.31000000041</v>
      </c>
      <c r="O79" s="48">
        <f>812825.43+54191.14</f>
        <v>867016.57000000007</v>
      </c>
      <c r="P79" s="48">
        <f>789461.22+50396.27</f>
        <v>839857.49</v>
      </c>
      <c r="Q79" s="49">
        <f>801169.1+49864.88</f>
        <v>851033.98</v>
      </c>
      <c r="R79" s="39">
        <f>581050.51+72349.62</f>
        <v>653400.13</v>
      </c>
      <c r="S79" s="41">
        <f>640762.65+75703.5</f>
        <v>716466.15</v>
      </c>
      <c r="T79" s="41">
        <f>687713.52+79092.53</f>
        <v>766806.05</v>
      </c>
      <c r="U79" s="16">
        <f t="shared" si="11"/>
        <v>50339.900000000023</v>
      </c>
      <c r="V79" s="45">
        <f t="shared" si="12"/>
        <v>7.0261379410597444E-2</v>
      </c>
    </row>
    <row r="80" spans="1:22" x14ac:dyDescent="0.2">
      <c r="A80" s="3">
        <v>602301</v>
      </c>
      <c r="B80" s="3" t="s">
        <v>61</v>
      </c>
      <c r="C80" s="1">
        <v>626142</v>
      </c>
      <c r="D80" s="1" t="s">
        <v>61</v>
      </c>
      <c r="E80" s="22">
        <v>157594.82</v>
      </c>
      <c r="F80" s="22">
        <v>160682.72</v>
      </c>
      <c r="G80" s="22">
        <v>170310.61000000004</v>
      </c>
      <c r="H80" s="22">
        <v>177808.54999999996</v>
      </c>
      <c r="I80" s="22">
        <v>174958.09</v>
      </c>
      <c r="J80" s="22">
        <v>181120.50999999998</v>
      </c>
      <c r="K80" s="22">
        <v>179713.16000000009</v>
      </c>
      <c r="L80" s="22">
        <v>177451.53999999998</v>
      </c>
      <c r="M80" s="22">
        <v>186719.69000000006</v>
      </c>
      <c r="N80" s="42">
        <v>195303.37999999995</v>
      </c>
      <c r="O80" s="48">
        <f>201434.5+12776.87</f>
        <v>214211.37</v>
      </c>
      <c r="P80" s="48">
        <f>196869.35+11864.9</f>
        <v>208734.25</v>
      </c>
      <c r="Q80" s="49">
        <f>198352.89+11740.66</f>
        <v>210093.55000000002</v>
      </c>
      <c r="R80" s="39">
        <f>142508.66+17078.61</f>
        <v>159587.27000000002</v>
      </c>
      <c r="S80" s="41">
        <f>158635.08+17903.52</f>
        <v>176538.59999999998</v>
      </c>
      <c r="T80" s="41">
        <f>177899.55+18553.03</f>
        <v>196452.58</v>
      </c>
      <c r="U80" s="16">
        <f t="shared" si="11"/>
        <v>19913.98000000001</v>
      </c>
      <c r="V80" s="45">
        <f t="shared" si="12"/>
        <v>0.11280241261684421</v>
      </c>
    </row>
    <row r="81" spans="1:22" x14ac:dyDescent="0.2">
      <c r="A81" s="3">
        <v>602001</v>
      </c>
      <c r="B81" s="3" t="s">
        <v>62</v>
      </c>
      <c r="C81" s="1">
        <v>626171</v>
      </c>
      <c r="D81" s="1" t="s">
        <v>62</v>
      </c>
      <c r="E81" s="22">
        <v>2050128.8700000003</v>
      </c>
      <c r="F81" s="22">
        <v>2058690.3399999999</v>
      </c>
      <c r="G81" s="22">
        <v>2049086.3400000008</v>
      </c>
      <c r="H81" s="22">
        <v>2124485.9799999995</v>
      </c>
      <c r="I81" s="22">
        <v>2268357.5300000007</v>
      </c>
      <c r="J81" s="22">
        <v>2417263.46</v>
      </c>
      <c r="K81" s="22">
        <v>2411969.19</v>
      </c>
      <c r="L81" s="22">
        <v>3067563.5700000008</v>
      </c>
      <c r="M81" s="22">
        <v>4257395.6799999988</v>
      </c>
      <c r="N81" s="42">
        <v>4874958.7600000007</v>
      </c>
      <c r="O81" s="48">
        <f>5731580.71+439869.33</f>
        <v>6171450.04</v>
      </c>
      <c r="P81" s="48">
        <f>5787895.04+412950.74</f>
        <v>6200845.7800000003</v>
      </c>
      <c r="Q81" s="49">
        <f>5986171.68+416877.85</f>
        <v>6403049.5299999993</v>
      </c>
      <c r="R81" s="39">
        <f>4466597.16+752749.98</f>
        <v>5219347.1400000006</v>
      </c>
      <c r="S81" s="41">
        <f>5160403.95+774015.93</f>
        <v>5934419.8799999999</v>
      </c>
      <c r="T81" s="41">
        <f>5787685.95+828898.06</f>
        <v>6616584.0099999998</v>
      </c>
      <c r="U81" s="16">
        <f t="shared" si="11"/>
        <v>682164.12999999989</v>
      </c>
      <c r="V81" s="45">
        <f t="shared" si="12"/>
        <v>0.1149504321895066</v>
      </c>
    </row>
    <row r="82" spans="1:22" x14ac:dyDescent="0.2">
      <c r="A82" s="3">
        <v>602000</v>
      </c>
      <c r="B82" s="3" t="s">
        <v>63</v>
      </c>
      <c r="C82" s="1">
        <v>626172</v>
      </c>
      <c r="D82" s="1" t="s">
        <v>63</v>
      </c>
      <c r="E82" s="22">
        <v>347628.44000000012</v>
      </c>
      <c r="F82" s="22">
        <v>449479.11000000004</v>
      </c>
      <c r="G82" s="22">
        <v>570108.97</v>
      </c>
      <c r="H82" s="22">
        <v>546502.17999999993</v>
      </c>
      <c r="I82" s="22">
        <v>598164.35</v>
      </c>
      <c r="J82" s="22">
        <v>613598.74000000011</v>
      </c>
      <c r="K82" s="22">
        <v>500699.6999999999</v>
      </c>
      <c r="L82" s="22">
        <v>533471.53</v>
      </c>
      <c r="M82" s="22">
        <v>589198.02999999991</v>
      </c>
      <c r="N82" s="42">
        <v>527253.14</v>
      </c>
      <c r="O82" s="48">
        <f>469194.09+13657.2</f>
        <v>482851.29000000004</v>
      </c>
      <c r="P82" s="48">
        <f>460842.64+14752.55</f>
        <v>475595.19</v>
      </c>
      <c r="Q82" s="49">
        <f>552589.82+18690.54</f>
        <v>571280.36</v>
      </c>
      <c r="R82" s="39">
        <f>397492.27+19149.12</f>
        <v>416641.39</v>
      </c>
      <c r="S82" s="41">
        <f>342000.3+17476.72</f>
        <v>359477.02</v>
      </c>
      <c r="T82" s="41">
        <f>502189.68+15935.13</f>
        <v>518124.81</v>
      </c>
      <c r="U82" s="16">
        <f t="shared" si="11"/>
        <v>158647.78999999998</v>
      </c>
      <c r="V82" s="45">
        <f t="shared" si="12"/>
        <v>0.44132943463256696</v>
      </c>
    </row>
    <row r="83" spans="1:22" x14ac:dyDescent="0.2">
      <c r="A83" s="3">
        <v>602002</v>
      </c>
      <c r="B83" s="3" t="s">
        <v>335</v>
      </c>
      <c r="C83" s="1">
        <v>626173</v>
      </c>
      <c r="D83" s="1" t="s">
        <v>64</v>
      </c>
      <c r="E83" s="22">
        <v>390.68</v>
      </c>
      <c r="F83" s="22">
        <v>4114.6499999999996</v>
      </c>
      <c r="G83" s="22">
        <v>2457.88</v>
      </c>
      <c r="H83" s="22">
        <v>105.32000000000001</v>
      </c>
      <c r="I83" s="22">
        <v>1588.3600000000001</v>
      </c>
      <c r="J83" s="22">
        <v>593.87</v>
      </c>
      <c r="K83" s="22">
        <v>2599.15</v>
      </c>
      <c r="L83" s="22"/>
      <c r="M83" s="22"/>
      <c r="N83" s="47"/>
      <c r="O83" s="47"/>
      <c r="P83" s="47"/>
      <c r="Q83" s="42"/>
      <c r="R83" s="42"/>
      <c r="S83" s="41"/>
      <c r="T83" s="41"/>
      <c r="U83" s="16">
        <f t="shared" si="11"/>
        <v>0</v>
      </c>
      <c r="V83" s="45" t="e">
        <f t="shared" si="12"/>
        <v>#DIV/0!</v>
      </c>
    </row>
    <row r="84" spans="1:22" x14ac:dyDescent="0.2">
      <c r="A84" s="3">
        <v>602501</v>
      </c>
      <c r="B84" s="3" t="s">
        <v>434</v>
      </c>
      <c r="C84" s="1">
        <v>626200</v>
      </c>
      <c r="D84" s="1" t="s">
        <v>65</v>
      </c>
      <c r="E84" s="22">
        <v>-196522.28</v>
      </c>
      <c r="F84" s="22">
        <v>14962.75999999998</v>
      </c>
      <c r="G84" s="22">
        <v>14902.000000000007</v>
      </c>
      <c r="H84" s="22">
        <v>44352.62000000001</v>
      </c>
      <c r="I84" s="22">
        <v>22827.640000000007</v>
      </c>
      <c r="J84" s="22">
        <v>-25345.560000000005</v>
      </c>
      <c r="K84" s="22">
        <v>131491.97</v>
      </c>
      <c r="L84" s="22">
        <v>189823.95</v>
      </c>
      <c r="M84" s="22">
        <v>42906.270000000004</v>
      </c>
      <c r="N84" s="42">
        <v>329815.93</v>
      </c>
      <c r="O84" s="48">
        <f>36574.91+(-1021.96)</f>
        <v>35552.950000000004</v>
      </c>
      <c r="P84" s="48">
        <f>54794.7+813.03</f>
        <v>55607.729999999996</v>
      </c>
      <c r="Q84" s="49">
        <f>143343.54+8559.17</f>
        <v>151902.71000000002</v>
      </c>
      <c r="R84" s="39">
        <f>135148.04+6271.72</f>
        <v>141419.76</v>
      </c>
      <c r="S84" s="41">
        <f>310542.93+7056.68</f>
        <v>317599.61</v>
      </c>
      <c r="T84" s="41">
        <f>164422.99+13724.19</f>
        <v>178147.18</v>
      </c>
      <c r="U84" s="16">
        <f t="shared" si="11"/>
        <v>-139452.43</v>
      </c>
      <c r="V84" s="45">
        <f t="shared" si="12"/>
        <v>-0.43908249761389823</v>
      </c>
    </row>
    <row r="85" spans="1:22" x14ac:dyDescent="0.2">
      <c r="A85" s="3">
        <v>602502</v>
      </c>
      <c r="B85" s="3" t="s">
        <v>66</v>
      </c>
      <c r="C85" s="1">
        <v>626210</v>
      </c>
      <c r="D85" s="1" t="s">
        <v>66</v>
      </c>
      <c r="E85" s="22"/>
      <c r="F85" s="22"/>
      <c r="G85" s="22"/>
      <c r="H85" s="22">
        <v>64232.74</v>
      </c>
      <c r="I85" s="22"/>
      <c r="J85" s="22"/>
      <c r="K85" s="22"/>
      <c r="L85" s="22"/>
      <c r="M85" s="22">
        <v>26068.77</v>
      </c>
      <c r="N85" s="47"/>
      <c r="O85" s="48"/>
      <c r="P85" s="48"/>
      <c r="Q85" s="48"/>
      <c r="R85" s="48"/>
      <c r="S85" s="48"/>
      <c r="T85" s="48"/>
      <c r="U85" s="16">
        <f t="shared" si="11"/>
        <v>0</v>
      </c>
      <c r="V85" s="45" t="e">
        <f t="shared" si="12"/>
        <v>#DIV/0!</v>
      </c>
    </row>
    <row r="86" spans="1:22" x14ac:dyDescent="0.2">
      <c r="A86" s="3">
        <v>602503</v>
      </c>
      <c r="B86" s="3" t="s">
        <v>67</v>
      </c>
      <c r="C86" s="1">
        <v>626300</v>
      </c>
      <c r="D86" s="1" t="s">
        <v>67</v>
      </c>
      <c r="E86" s="22">
        <v>4711.57</v>
      </c>
      <c r="F86" s="22">
        <v>13653.550000000001</v>
      </c>
      <c r="G86" s="22">
        <v>3905.74</v>
      </c>
      <c r="H86" s="22">
        <v>-2305.5600000000004</v>
      </c>
      <c r="I86" s="22">
        <v>1588.3700000000001</v>
      </c>
      <c r="J86" s="22">
        <v>-657.79</v>
      </c>
      <c r="K86" s="22">
        <v>-1747.25</v>
      </c>
      <c r="L86" s="22">
        <v>4617.79</v>
      </c>
      <c r="M86" s="22">
        <v>9699.43</v>
      </c>
      <c r="N86" s="42">
        <v>4308.0100000000011</v>
      </c>
      <c r="O86" s="48">
        <f>4380.11+229.33</f>
        <v>4609.4399999999996</v>
      </c>
      <c r="P86" s="48">
        <f>52905.78+3590.29</f>
        <v>56496.07</v>
      </c>
      <c r="Q86" s="49">
        <f>43192.65+3232.33</f>
        <v>46424.98</v>
      </c>
      <c r="R86" s="39">
        <f>-8103.27+(-3671.76)</f>
        <v>-11775.03</v>
      </c>
      <c r="S86" s="41">
        <f>21181.15+917.57</f>
        <v>22098.720000000001</v>
      </c>
      <c r="T86" s="41">
        <f>(-20202.32)+1873.12</f>
        <v>-18329.2</v>
      </c>
      <c r="U86" s="16">
        <f t="shared" si="11"/>
        <v>-40427.919999999998</v>
      </c>
      <c r="V86" s="45">
        <f t="shared" si="12"/>
        <v>-1.829423604625064</v>
      </c>
    </row>
    <row r="87" spans="1:22" x14ac:dyDescent="0.2">
      <c r="C87" s="3" t="s">
        <v>234</v>
      </c>
      <c r="D87" s="3" t="s">
        <v>235</v>
      </c>
      <c r="E87" s="22"/>
      <c r="F87" s="22"/>
      <c r="G87" s="22"/>
      <c r="H87" s="22"/>
      <c r="I87" s="22"/>
      <c r="J87" s="22"/>
      <c r="K87" s="22"/>
      <c r="L87" s="22"/>
      <c r="M87" s="22"/>
      <c r="N87" s="22">
        <v>1060.67</v>
      </c>
      <c r="O87" s="22">
        <v>2166.61</v>
      </c>
      <c r="P87" s="22"/>
      <c r="Q87" s="22"/>
      <c r="R87" s="22"/>
      <c r="S87" s="22"/>
      <c r="T87" s="22"/>
      <c r="U87" s="16">
        <f t="shared" si="11"/>
        <v>0</v>
      </c>
      <c r="V87" s="45" t="e">
        <f t="shared" si="12"/>
        <v>#DIV/0!</v>
      </c>
    </row>
    <row r="88" spans="1:22" x14ac:dyDescent="0.2">
      <c r="C88" s="1"/>
      <c r="D88" s="5" t="s">
        <v>231</v>
      </c>
      <c r="E88" s="6">
        <f>SUM(E74:E87)</f>
        <v>4492289.04</v>
      </c>
      <c r="F88" s="6">
        <f t="shared" ref="F88:S88" si="13">SUM(F74:F87)</f>
        <v>4957540</v>
      </c>
      <c r="G88" s="6">
        <f t="shared" si="13"/>
        <v>5323651.870000001</v>
      </c>
      <c r="H88" s="6">
        <f t="shared" si="13"/>
        <v>5523730.6700000009</v>
      </c>
      <c r="I88" s="6">
        <f t="shared" si="13"/>
        <v>5653392.8600000003</v>
      </c>
      <c r="J88" s="6">
        <f t="shared" si="13"/>
        <v>5917273.1500000004</v>
      </c>
      <c r="K88" s="6">
        <f t="shared" si="13"/>
        <v>6068601.3300000001</v>
      </c>
      <c r="L88" s="6">
        <f t="shared" si="13"/>
        <v>6809657.0300000021</v>
      </c>
      <c r="M88" s="6">
        <f t="shared" si="13"/>
        <v>8223315.509999997</v>
      </c>
      <c r="N88" s="6">
        <f t="shared" si="13"/>
        <v>9373953.9400000013</v>
      </c>
      <c r="O88" s="6">
        <f t="shared" si="13"/>
        <v>10690539.929999998</v>
      </c>
      <c r="P88" s="6">
        <f t="shared" si="13"/>
        <v>10718100.140000001</v>
      </c>
      <c r="Q88" s="6">
        <f t="shared" si="13"/>
        <v>10939294.949999999</v>
      </c>
      <c r="R88" s="6">
        <f t="shared" si="13"/>
        <v>8643026.8400000017</v>
      </c>
      <c r="S88" s="6">
        <f t="shared" si="13"/>
        <v>9832576.9999999981</v>
      </c>
      <c r="T88" s="6">
        <f t="shared" ref="T88" si="14">SUM(T74:T87)</f>
        <v>10684131.090000002</v>
      </c>
      <c r="U88" s="17">
        <f>SUM(U74:U87)</f>
        <v>851554.09</v>
      </c>
      <c r="V88" s="45">
        <f t="shared" si="12"/>
        <v>8.6605382291946462E-2</v>
      </c>
    </row>
    <row r="89" spans="1:22" x14ac:dyDescent="0.2">
      <c r="C89" s="1"/>
      <c r="D89" s="1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8"/>
      <c r="V89" s="45"/>
    </row>
    <row r="90" spans="1:22" x14ac:dyDescent="0.2">
      <c r="C90" s="1"/>
      <c r="D90" s="5" t="s">
        <v>232</v>
      </c>
      <c r="E90" s="7">
        <f>E26+E73+E88</f>
        <v>15968516.690000001</v>
      </c>
      <c r="F90" s="7">
        <f>F26+F73+F88</f>
        <v>16946852.599999998</v>
      </c>
      <c r="G90" s="7">
        <f t="shared" ref="G90:U90" si="15">G26+G73+G88</f>
        <v>17869868.060000002</v>
      </c>
      <c r="H90" s="7">
        <f t="shared" si="15"/>
        <v>18719423.300000001</v>
      </c>
      <c r="I90" s="7">
        <f t="shared" si="15"/>
        <v>18591275.229999997</v>
      </c>
      <c r="J90" s="7">
        <f t="shared" si="15"/>
        <v>19302377.039999999</v>
      </c>
      <c r="K90" s="7">
        <f t="shared" si="15"/>
        <v>19482070.5</v>
      </c>
      <c r="L90" s="7">
        <f t="shared" si="15"/>
        <v>19915126.560000002</v>
      </c>
      <c r="M90" s="7">
        <f t="shared" si="15"/>
        <v>22403868.679999996</v>
      </c>
      <c r="N90" s="7">
        <f t="shared" si="15"/>
        <v>24711215.75</v>
      </c>
      <c r="O90" s="7">
        <f t="shared" si="15"/>
        <v>26914655.559999999</v>
      </c>
      <c r="P90" s="7">
        <f t="shared" si="15"/>
        <v>26526280.870000001</v>
      </c>
      <c r="Q90" s="7">
        <f t="shared" si="15"/>
        <v>26500315.539999999</v>
      </c>
      <c r="R90" s="7">
        <f t="shared" si="15"/>
        <v>22728757.860000003</v>
      </c>
      <c r="S90" s="7">
        <f t="shared" si="15"/>
        <v>22954786.009999998</v>
      </c>
      <c r="T90" s="7">
        <f t="shared" ref="T90" si="16">T26+T73+T88</f>
        <v>24495664.580000002</v>
      </c>
      <c r="U90" s="19">
        <f t="shared" si="15"/>
        <v>1540878.5700000003</v>
      </c>
      <c r="V90" s="45">
        <f t="shared" si="12"/>
        <v>6.7126679783846982E-2</v>
      </c>
    </row>
    <row r="91" spans="1:22" x14ac:dyDescent="0.2">
      <c r="A91" s="3">
        <v>703000</v>
      </c>
      <c r="B91" s="3" t="s">
        <v>353</v>
      </c>
      <c r="C91" s="1">
        <v>711100</v>
      </c>
      <c r="D91" s="1" t="s">
        <v>68</v>
      </c>
      <c r="E91" s="2"/>
      <c r="F91" s="2"/>
      <c r="G91" s="2"/>
      <c r="H91" s="2"/>
      <c r="I91" s="2"/>
      <c r="J91" s="2"/>
      <c r="K91" s="2"/>
      <c r="L91" s="2"/>
      <c r="M91" s="2"/>
      <c r="N91" s="43"/>
      <c r="O91" s="42"/>
      <c r="P91" s="42"/>
      <c r="Q91" s="42"/>
      <c r="R91" s="42"/>
      <c r="S91" s="42"/>
      <c r="T91" s="42"/>
      <c r="U91" s="16">
        <f t="shared" ref="U91:U154" si="17">T91-S91</f>
        <v>0</v>
      </c>
      <c r="V91" s="45" t="e">
        <f t="shared" ref="V91:V154" si="18">U91/S91</f>
        <v>#DIV/0!</v>
      </c>
    </row>
    <row r="92" spans="1:22" x14ac:dyDescent="0.2">
      <c r="A92" s="72">
        <v>702203</v>
      </c>
      <c r="B92" s="72" t="s">
        <v>464</v>
      </c>
      <c r="C92" s="1"/>
      <c r="D92" s="1"/>
      <c r="E92" s="2"/>
      <c r="F92" s="2"/>
      <c r="G92" s="2"/>
      <c r="H92" s="2"/>
      <c r="I92" s="2"/>
      <c r="J92" s="2"/>
      <c r="K92" s="2"/>
      <c r="L92" s="2"/>
      <c r="M92" s="2"/>
      <c r="N92" s="43"/>
      <c r="O92" s="42"/>
      <c r="P92" s="42"/>
      <c r="Q92" s="42"/>
      <c r="R92" s="42"/>
      <c r="S92" s="42"/>
      <c r="T92" s="41">
        <v>4001.05</v>
      </c>
      <c r="U92" s="16">
        <f t="shared" si="17"/>
        <v>4001.05</v>
      </c>
      <c r="V92" s="45" t="e">
        <f t="shared" si="18"/>
        <v>#DIV/0!</v>
      </c>
    </row>
    <row r="93" spans="1:22" x14ac:dyDescent="0.2">
      <c r="A93" s="3">
        <v>704201</v>
      </c>
      <c r="B93" s="3" t="s">
        <v>435</v>
      </c>
      <c r="C93" s="57">
        <v>711400</v>
      </c>
      <c r="D93" s="57" t="s">
        <v>283</v>
      </c>
      <c r="E93" s="22"/>
      <c r="F93" s="22"/>
      <c r="G93" s="22"/>
      <c r="H93" s="22"/>
      <c r="I93" s="22"/>
      <c r="J93" s="22"/>
      <c r="K93" s="22"/>
      <c r="L93" s="22"/>
      <c r="M93" s="22"/>
      <c r="N93" s="43"/>
      <c r="O93" s="42"/>
      <c r="P93" s="42"/>
      <c r="Q93" s="42"/>
      <c r="R93" s="42"/>
      <c r="S93" s="42"/>
      <c r="T93" s="42"/>
      <c r="U93" s="16">
        <f t="shared" si="17"/>
        <v>0</v>
      </c>
      <c r="V93" s="45" t="e">
        <f t="shared" si="18"/>
        <v>#DIV/0!</v>
      </c>
    </row>
    <row r="94" spans="1:22" x14ac:dyDescent="0.2">
      <c r="A94" s="3">
        <v>704600</v>
      </c>
      <c r="B94" s="3" t="s">
        <v>355</v>
      </c>
      <c r="C94" s="1">
        <v>711500</v>
      </c>
      <c r="D94" s="1" t="s">
        <v>69</v>
      </c>
      <c r="E94" s="22">
        <v>1094</v>
      </c>
      <c r="F94" s="22"/>
      <c r="G94" s="22"/>
      <c r="H94" s="22"/>
      <c r="I94" s="22"/>
      <c r="J94" s="22"/>
      <c r="K94" s="22"/>
      <c r="L94" s="22"/>
      <c r="M94" s="22"/>
      <c r="U94" s="16">
        <f t="shared" si="17"/>
        <v>0</v>
      </c>
      <c r="V94" s="45" t="e">
        <f t="shared" si="18"/>
        <v>#DIV/0!</v>
      </c>
    </row>
    <row r="95" spans="1:22" x14ac:dyDescent="0.2">
      <c r="A95" s="3">
        <v>702106</v>
      </c>
      <c r="B95" s="3" t="s">
        <v>351</v>
      </c>
      <c r="C95" s="1">
        <v>713100</v>
      </c>
      <c r="D95" s="1" t="s">
        <v>70</v>
      </c>
      <c r="E95" s="22">
        <v>77888.91</v>
      </c>
      <c r="F95" s="22">
        <v>78046.880000000005</v>
      </c>
      <c r="G95" s="22">
        <v>124006.25</v>
      </c>
      <c r="H95" s="22">
        <v>135423.52999999997</v>
      </c>
      <c r="I95" s="22">
        <v>126526.43000000001</v>
      </c>
      <c r="J95" s="22">
        <v>130007.77000000002</v>
      </c>
      <c r="K95" s="22">
        <v>137081.60000000001</v>
      </c>
      <c r="L95" s="22">
        <v>131665.12</v>
      </c>
      <c r="M95" s="22">
        <v>162391.56999999998</v>
      </c>
      <c r="N95" s="43">
        <v>196505.8</v>
      </c>
      <c r="O95" s="42">
        <v>189159.26</v>
      </c>
      <c r="P95" s="42">
        <v>147980.00000000003</v>
      </c>
      <c r="Q95" s="49">
        <v>199726.98000000004</v>
      </c>
      <c r="R95" s="39">
        <v>163715</v>
      </c>
      <c r="S95" s="41">
        <v>135249.01</v>
      </c>
      <c r="T95" s="41">
        <v>10142.629999999999</v>
      </c>
      <c r="U95" s="16">
        <f t="shared" si="17"/>
        <v>-125106.38</v>
      </c>
      <c r="V95" s="45">
        <f t="shared" si="18"/>
        <v>-0.92500773203441555</v>
      </c>
    </row>
    <row r="96" spans="1:22" x14ac:dyDescent="0.2">
      <c r="A96" s="3">
        <v>702106</v>
      </c>
      <c r="B96" s="3" t="s">
        <v>351</v>
      </c>
      <c r="C96" s="1">
        <v>713101</v>
      </c>
      <c r="D96" s="1" t="s">
        <v>71</v>
      </c>
      <c r="E96" s="22"/>
      <c r="F96" s="22">
        <v>-27.96</v>
      </c>
      <c r="G96" s="22">
        <v>-100</v>
      </c>
      <c r="H96" s="22">
        <v>-12.68</v>
      </c>
      <c r="I96" s="22"/>
      <c r="J96" s="22"/>
      <c r="K96" s="22"/>
      <c r="L96" s="22">
        <v>911.85</v>
      </c>
      <c r="M96" s="22"/>
      <c r="N96" s="43"/>
      <c r="O96" s="42"/>
      <c r="P96" s="42"/>
      <c r="Q96" s="47"/>
      <c r="R96" s="47"/>
      <c r="S96" s="47"/>
      <c r="T96" s="47"/>
      <c r="U96" s="16">
        <f t="shared" si="17"/>
        <v>0</v>
      </c>
      <c r="V96" s="45" t="e">
        <f t="shared" si="18"/>
        <v>#DIV/0!</v>
      </c>
    </row>
    <row r="97" spans="1:22" x14ac:dyDescent="0.2">
      <c r="A97" s="3">
        <v>702108</v>
      </c>
      <c r="B97" s="3" t="s">
        <v>184</v>
      </c>
      <c r="C97" s="57">
        <v>713110</v>
      </c>
      <c r="D97" s="57" t="s">
        <v>184</v>
      </c>
      <c r="E97" s="22">
        <v>32165</v>
      </c>
      <c r="F97" s="22">
        <v>10539.380000000001</v>
      </c>
      <c r="G97" s="22">
        <v>28267.600000000002</v>
      </c>
      <c r="H97" s="22">
        <v>7157.04</v>
      </c>
      <c r="I97" s="22">
        <v>35994.82</v>
      </c>
      <c r="J97" s="22">
        <v>16790.18</v>
      </c>
      <c r="K97" s="22">
        <v>37772</v>
      </c>
      <c r="L97" s="22">
        <v>55198</v>
      </c>
      <c r="M97" s="22">
        <v>-461.89</v>
      </c>
      <c r="N97" s="43">
        <v>32243.75</v>
      </c>
      <c r="O97" s="42">
        <v>60803.82</v>
      </c>
      <c r="P97" s="42">
        <v>53180.450000000004</v>
      </c>
      <c r="Q97" s="49">
        <v>49671.82</v>
      </c>
      <c r="R97" s="39">
        <v>65714.570000000007</v>
      </c>
      <c r="S97" s="41">
        <v>46164.49</v>
      </c>
      <c r="T97" s="41">
        <v>21142.400000000001</v>
      </c>
      <c r="U97" s="16">
        <f t="shared" si="17"/>
        <v>-25022.089999999997</v>
      </c>
      <c r="V97" s="45">
        <f t="shared" si="18"/>
        <v>-0.54202028442207417</v>
      </c>
    </row>
    <row r="98" spans="1:22" x14ac:dyDescent="0.2">
      <c r="A98" s="3">
        <v>702109</v>
      </c>
      <c r="B98" s="3" t="s">
        <v>72</v>
      </c>
      <c r="C98" s="1">
        <v>713115</v>
      </c>
      <c r="D98" s="1" t="s">
        <v>72</v>
      </c>
      <c r="N98" s="43"/>
      <c r="U98" s="16">
        <f t="shared" si="17"/>
        <v>0</v>
      </c>
      <c r="V98" s="45" t="e">
        <f t="shared" si="18"/>
        <v>#DIV/0!</v>
      </c>
    </row>
    <row r="99" spans="1:22" x14ac:dyDescent="0.2">
      <c r="A99" s="3">
        <v>702111</v>
      </c>
      <c r="B99" s="3" t="s">
        <v>352</v>
      </c>
      <c r="C99" s="1">
        <v>713125</v>
      </c>
      <c r="D99" s="1" t="s">
        <v>73</v>
      </c>
      <c r="E99" s="22">
        <v>45</v>
      </c>
      <c r="F99" s="22">
        <v>1015.6800000000001</v>
      </c>
      <c r="G99" s="22"/>
      <c r="H99" s="22"/>
      <c r="I99" s="22">
        <v>1159.1300000000001</v>
      </c>
      <c r="J99" s="22">
        <v>81.53</v>
      </c>
      <c r="K99" s="22"/>
      <c r="L99" s="22"/>
      <c r="M99" s="22">
        <v>125</v>
      </c>
      <c r="O99" s="22"/>
      <c r="P99" s="22">
        <v>44.260000000000005</v>
      </c>
      <c r="Q99" s="22"/>
      <c r="R99" s="22"/>
      <c r="S99" s="22"/>
      <c r="T99" s="22"/>
      <c r="U99" s="16">
        <f t="shared" si="17"/>
        <v>0</v>
      </c>
      <c r="V99" s="45" t="e">
        <f t="shared" si="18"/>
        <v>#DIV/0!</v>
      </c>
    </row>
    <row r="100" spans="1:22" x14ac:dyDescent="0.2">
      <c r="A100" s="3">
        <v>702200</v>
      </c>
      <c r="B100" s="3" t="s">
        <v>74</v>
      </c>
      <c r="C100" s="1">
        <v>713135</v>
      </c>
      <c r="D100" s="1" t="s">
        <v>74</v>
      </c>
      <c r="E100" s="22">
        <v>86659.400000000023</v>
      </c>
      <c r="F100" s="22">
        <v>102205.57999999999</v>
      </c>
      <c r="G100" s="22">
        <v>53298.83</v>
      </c>
      <c r="H100" s="22">
        <v>72731.67</v>
      </c>
      <c r="I100" s="22">
        <v>49490.13</v>
      </c>
      <c r="J100" s="22">
        <v>63522.580000000009</v>
      </c>
      <c r="K100" s="22">
        <v>47881.270000000004</v>
      </c>
      <c r="L100" s="22">
        <v>43015.47</v>
      </c>
      <c r="M100" s="22">
        <v>52769.820000000007</v>
      </c>
      <c r="N100" s="43">
        <v>54876.9</v>
      </c>
      <c r="O100" s="42">
        <v>69460.040000000008</v>
      </c>
      <c r="P100" s="42">
        <v>42026.090000000004</v>
      </c>
      <c r="Q100" s="49">
        <v>54222.69000000001</v>
      </c>
      <c r="R100" s="39">
        <v>110198.30000000005</v>
      </c>
      <c r="S100" s="41">
        <v>187155.73</v>
      </c>
      <c r="T100" s="41">
        <v>115556.82</v>
      </c>
      <c r="U100" s="16">
        <f t="shared" si="17"/>
        <v>-71598.91</v>
      </c>
      <c r="V100" s="45">
        <f t="shared" si="18"/>
        <v>-0.38256328032275583</v>
      </c>
    </row>
    <row r="101" spans="1:22" x14ac:dyDescent="0.2">
      <c r="A101" s="3">
        <v>702103</v>
      </c>
      <c r="B101" s="3" t="s">
        <v>349</v>
      </c>
      <c r="C101" s="1">
        <v>713140</v>
      </c>
      <c r="D101" s="1" t="s">
        <v>75</v>
      </c>
      <c r="E101" s="22">
        <v>6500</v>
      </c>
      <c r="F101" s="22">
        <v>32823.89</v>
      </c>
      <c r="G101" s="22">
        <v>9264.7000000000007</v>
      </c>
      <c r="H101" s="22">
        <v>822.5</v>
      </c>
      <c r="I101" s="22"/>
      <c r="J101" s="22"/>
      <c r="K101" s="22"/>
      <c r="L101" s="22">
        <v>2494.66</v>
      </c>
      <c r="M101" s="22">
        <v>2446.25</v>
      </c>
      <c r="N101" s="22"/>
      <c r="O101" s="22"/>
      <c r="P101" s="22">
        <v>-4565.1400000000003</v>
      </c>
      <c r="Q101" s="22"/>
      <c r="R101" s="22"/>
      <c r="S101" s="41">
        <v>132.80000000000001</v>
      </c>
      <c r="T101" s="41">
        <v>12600</v>
      </c>
      <c r="U101" s="16">
        <f t="shared" si="17"/>
        <v>12467.2</v>
      </c>
      <c r="V101" s="45">
        <f t="shared" si="18"/>
        <v>93.879518072289159</v>
      </c>
    </row>
    <row r="102" spans="1:22" x14ac:dyDescent="0.2">
      <c r="A102" s="3">
        <v>705700</v>
      </c>
      <c r="B102" s="3" t="s">
        <v>437</v>
      </c>
      <c r="C102" s="1">
        <v>713145</v>
      </c>
      <c r="D102" s="1" t="s">
        <v>76</v>
      </c>
      <c r="E102" s="22">
        <v>537.20000000000005</v>
      </c>
      <c r="F102" s="22"/>
      <c r="G102" s="22"/>
      <c r="H102" s="22">
        <v>775</v>
      </c>
      <c r="I102" s="22">
        <v>390</v>
      </c>
      <c r="J102" s="22"/>
      <c r="K102" s="22"/>
      <c r="L102" s="22"/>
      <c r="M102" s="22"/>
      <c r="N102" s="22"/>
      <c r="O102" s="22"/>
      <c r="P102" s="22"/>
      <c r="Q102" s="22"/>
      <c r="R102" s="22"/>
      <c r="S102" s="22"/>
      <c r="T102" s="22"/>
      <c r="U102" s="16">
        <f t="shared" si="17"/>
        <v>0</v>
      </c>
      <c r="V102" s="45" t="e">
        <f t="shared" si="18"/>
        <v>#DIV/0!</v>
      </c>
    </row>
    <row r="103" spans="1:22" x14ac:dyDescent="0.2">
      <c r="A103">
        <v>702112</v>
      </c>
      <c r="C103" s="37">
        <v>713150</v>
      </c>
      <c r="D103" s="37" t="s">
        <v>258</v>
      </c>
      <c r="E103" s="22"/>
      <c r="F103" s="22"/>
      <c r="G103" s="22"/>
      <c r="H103" s="22"/>
      <c r="I103" s="22"/>
      <c r="J103" s="22"/>
      <c r="K103" s="22"/>
      <c r="L103" s="22"/>
      <c r="M103" s="22"/>
      <c r="N103" s="22"/>
      <c r="O103" s="22"/>
      <c r="P103" s="22"/>
      <c r="Q103" s="22"/>
      <c r="R103" s="39">
        <v>20367</v>
      </c>
      <c r="S103" s="41">
        <v>31701.29</v>
      </c>
      <c r="T103" s="41">
        <v>45176.67</v>
      </c>
      <c r="U103" s="16">
        <f t="shared" si="17"/>
        <v>13475.379999999997</v>
      </c>
      <c r="V103" s="45">
        <f t="shared" si="18"/>
        <v>0.42507355378913592</v>
      </c>
    </row>
    <row r="104" spans="1:22" x14ac:dyDescent="0.2">
      <c r="A104" s="3">
        <v>701000</v>
      </c>
      <c r="B104" s="3" t="s">
        <v>77</v>
      </c>
      <c r="C104" s="1">
        <v>721100</v>
      </c>
      <c r="D104" s="1" t="s">
        <v>77</v>
      </c>
      <c r="E104" s="22">
        <v>65021.80000000001</v>
      </c>
      <c r="F104" s="22">
        <v>114291.19000000002</v>
      </c>
      <c r="G104" s="22">
        <v>39056.969999999994</v>
      </c>
      <c r="H104" s="22">
        <v>26108.170000000002</v>
      </c>
      <c r="I104" s="22">
        <v>20474.14</v>
      </c>
      <c r="J104" s="22">
        <v>18268.89</v>
      </c>
      <c r="K104" s="22">
        <v>23519.85</v>
      </c>
      <c r="L104" s="22">
        <v>25886.53</v>
      </c>
      <c r="M104" s="22">
        <v>9951.630000000001</v>
      </c>
      <c r="N104" s="43">
        <v>11027.94</v>
      </c>
      <c r="O104" s="42">
        <v>10653.81</v>
      </c>
      <c r="P104" s="42">
        <v>1943.07</v>
      </c>
      <c r="Q104" s="49">
        <v>7658.95</v>
      </c>
      <c r="R104" s="39">
        <v>19332.560000000001</v>
      </c>
      <c r="S104" s="41">
        <v>31178.639999999999</v>
      </c>
      <c r="T104" s="41">
        <v>28157.57</v>
      </c>
      <c r="U104" s="16">
        <f t="shared" si="17"/>
        <v>-3021.0699999999997</v>
      </c>
      <c r="V104" s="45">
        <f t="shared" si="18"/>
        <v>-9.689550281859631E-2</v>
      </c>
    </row>
    <row r="105" spans="1:22" x14ac:dyDescent="0.2">
      <c r="A105" s="3">
        <v>701001</v>
      </c>
      <c r="B105" s="3" t="s">
        <v>78</v>
      </c>
      <c r="C105" s="1">
        <v>721105</v>
      </c>
      <c r="D105" s="1" t="s">
        <v>78</v>
      </c>
      <c r="E105" s="22">
        <v>338379.39999999997</v>
      </c>
      <c r="F105" s="22">
        <v>344140.77999999997</v>
      </c>
      <c r="G105" s="22">
        <v>415586.04999999993</v>
      </c>
      <c r="H105" s="22">
        <v>250127.40000000002</v>
      </c>
      <c r="I105" s="22">
        <v>80377.150000000009</v>
      </c>
      <c r="J105" s="22">
        <v>105569.39000000001</v>
      </c>
      <c r="K105" s="22">
        <v>91656.99</v>
      </c>
      <c r="L105" s="22">
        <v>66471.88</v>
      </c>
      <c r="M105" s="22">
        <v>116530.04000000001</v>
      </c>
      <c r="N105" s="43">
        <v>87495.459999999992</v>
      </c>
      <c r="O105" s="42">
        <v>128287.48000000001</v>
      </c>
      <c r="P105" s="42">
        <v>398200.89</v>
      </c>
      <c r="Q105" s="49">
        <v>436751.17000000004</v>
      </c>
      <c r="R105" s="39">
        <v>366157.92000000004</v>
      </c>
      <c r="S105" s="41">
        <v>379161.71</v>
      </c>
      <c r="T105" s="41">
        <v>151801.78000000003</v>
      </c>
      <c r="U105" s="16">
        <f t="shared" si="17"/>
        <v>-227359.93</v>
      </c>
      <c r="V105" s="45">
        <f t="shared" si="18"/>
        <v>-0.59963842340514806</v>
      </c>
    </row>
    <row r="106" spans="1:22" x14ac:dyDescent="0.2">
      <c r="A106" s="3">
        <v>701200</v>
      </c>
      <c r="B106" s="3" t="s">
        <v>338</v>
      </c>
      <c r="C106" s="1">
        <v>721110</v>
      </c>
      <c r="D106" s="1" t="s">
        <v>79</v>
      </c>
      <c r="E106" s="22">
        <v>72985</v>
      </c>
      <c r="F106" s="22">
        <v>76795</v>
      </c>
      <c r="G106" s="22">
        <v>80235</v>
      </c>
      <c r="H106" s="22">
        <v>90806</v>
      </c>
      <c r="I106" s="22">
        <v>87093</v>
      </c>
      <c r="J106" s="22">
        <v>123782</v>
      </c>
      <c r="K106" s="22">
        <v>59371</v>
      </c>
      <c r="L106" s="22">
        <v>70849.7</v>
      </c>
      <c r="M106" s="22">
        <v>72373</v>
      </c>
      <c r="N106" s="43">
        <v>72182</v>
      </c>
      <c r="O106" s="42">
        <v>50194.82</v>
      </c>
      <c r="P106" s="42">
        <v>17862.59</v>
      </c>
      <c r="Q106" s="49">
        <v>57405.79</v>
      </c>
      <c r="R106" s="39">
        <v>55621.020000000004</v>
      </c>
      <c r="S106" s="41">
        <v>58393.32</v>
      </c>
      <c r="T106" s="41">
        <v>73683.460000000006</v>
      </c>
      <c r="U106" s="16">
        <f t="shared" si="17"/>
        <v>15290.140000000007</v>
      </c>
      <c r="V106" s="45">
        <f t="shared" si="18"/>
        <v>0.26184741679356488</v>
      </c>
    </row>
    <row r="107" spans="1:22" s="54" customFormat="1" x14ac:dyDescent="0.2">
      <c r="A107" s="55">
        <v>701202</v>
      </c>
      <c r="B107" s="55" t="s">
        <v>80</v>
      </c>
      <c r="C107" s="56">
        <v>721115</v>
      </c>
      <c r="D107" s="56" t="s">
        <v>80</v>
      </c>
      <c r="E107" s="61">
        <v>49461.43</v>
      </c>
      <c r="F107" s="61">
        <v>33638.06</v>
      </c>
      <c r="G107" s="61">
        <v>16112.140000000001</v>
      </c>
      <c r="H107" s="61">
        <v>14328.03</v>
      </c>
      <c r="I107" s="61">
        <v>75304.290000000008</v>
      </c>
      <c r="J107" s="61">
        <v>13675</v>
      </c>
      <c r="K107" s="61">
        <v>47715.5</v>
      </c>
      <c r="L107" s="61">
        <v>15897</v>
      </c>
      <c r="M107" s="61">
        <v>15306.82</v>
      </c>
      <c r="N107" s="63">
        <v>10370</v>
      </c>
      <c r="O107" s="48">
        <v>19359.919999999998</v>
      </c>
      <c r="P107" s="48">
        <v>1595</v>
      </c>
      <c r="Q107" s="64">
        <v>94274.25</v>
      </c>
      <c r="R107" s="39">
        <v>172211.78</v>
      </c>
      <c r="S107" s="41">
        <v>170129.04</v>
      </c>
      <c r="T107" s="41">
        <v>500918.15</v>
      </c>
      <c r="U107" s="16">
        <f t="shared" si="17"/>
        <v>330789.11</v>
      </c>
      <c r="V107" s="45">
        <f t="shared" si="18"/>
        <v>1.9443424238448648</v>
      </c>
    </row>
    <row r="108" spans="1:22" x14ac:dyDescent="0.2">
      <c r="A108" s="3">
        <v>701404</v>
      </c>
      <c r="B108" s="3" t="s">
        <v>343</v>
      </c>
      <c r="C108" s="1">
        <v>721120</v>
      </c>
      <c r="D108" s="1" t="s">
        <v>81</v>
      </c>
      <c r="E108" s="22">
        <v>2815</v>
      </c>
      <c r="F108" s="22">
        <v>7303.77</v>
      </c>
      <c r="G108" s="22">
        <v>13233</v>
      </c>
      <c r="H108" s="22">
        <v>42510.09</v>
      </c>
      <c r="I108" s="22">
        <v>39766.800000000003</v>
      </c>
      <c r="J108" s="22">
        <v>15678.970000000001</v>
      </c>
      <c r="K108" s="22">
        <v>7540</v>
      </c>
      <c r="L108" s="22">
        <v>3850</v>
      </c>
      <c r="M108" s="22">
        <v>5566.49</v>
      </c>
      <c r="N108" s="43">
        <v>8389.02</v>
      </c>
      <c r="O108" s="42">
        <v>600</v>
      </c>
      <c r="P108" s="42">
        <v>6100</v>
      </c>
      <c r="Q108" s="49">
        <v>2000</v>
      </c>
      <c r="R108" s="39">
        <v>8450</v>
      </c>
      <c r="S108" s="41">
        <v>4886</v>
      </c>
      <c r="T108" s="41">
        <v>6150</v>
      </c>
      <c r="U108" s="16">
        <f t="shared" si="17"/>
        <v>1264</v>
      </c>
      <c r="V108" s="45">
        <f t="shared" si="18"/>
        <v>0.258698321735571</v>
      </c>
    </row>
    <row r="109" spans="1:22" x14ac:dyDescent="0.2">
      <c r="A109" s="3">
        <v>701100</v>
      </c>
      <c r="B109" s="3" t="s">
        <v>337</v>
      </c>
      <c r="C109" s="1">
        <v>721125</v>
      </c>
      <c r="D109" s="1" t="s">
        <v>82</v>
      </c>
      <c r="E109" s="22">
        <v>33842.629999999997</v>
      </c>
      <c r="F109" s="22">
        <v>28051.95</v>
      </c>
      <c r="G109" s="22">
        <v>39529.700000000004</v>
      </c>
      <c r="H109" s="22">
        <v>38388.230000000003</v>
      </c>
      <c r="I109" s="22">
        <v>38651.67</v>
      </c>
      <c r="J109" s="22">
        <v>37595.53</v>
      </c>
      <c r="K109" s="22">
        <v>29877.68</v>
      </c>
      <c r="L109" s="22">
        <v>36097.82</v>
      </c>
      <c r="M109" s="22">
        <v>31139.75</v>
      </c>
      <c r="N109" s="43">
        <v>31865.350000000002</v>
      </c>
      <c r="O109" s="42">
        <v>31867.52</v>
      </c>
      <c r="P109" s="42">
        <v>44454.58</v>
      </c>
      <c r="Q109" s="49">
        <v>48811.67</v>
      </c>
      <c r="R109" s="39">
        <v>60559.590000000004</v>
      </c>
      <c r="S109" s="41">
        <v>86817.73</v>
      </c>
      <c r="T109" s="41">
        <v>106056.54000000001</v>
      </c>
      <c r="U109" s="16">
        <f t="shared" si="17"/>
        <v>19238.810000000012</v>
      </c>
      <c r="V109" s="45">
        <f t="shared" si="18"/>
        <v>0.22160001188697301</v>
      </c>
    </row>
    <row r="110" spans="1:22" x14ac:dyDescent="0.2">
      <c r="A110" s="3">
        <v>701300</v>
      </c>
      <c r="B110" s="3" t="s">
        <v>276</v>
      </c>
      <c r="C110" s="57">
        <v>721130</v>
      </c>
      <c r="D110" s="57" t="s">
        <v>276</v>
      </c>
      <c r="E110" s="22">
        <v>6723.9000000000005</v>
      </c>
      <c r="F110" s="22">
        <v>3285.5299999999997</v>
      </c>
      <c r="G110" s="22">
        <v>3728.64</v>
      </c>
      <c r="H110" s="22">
        <v>3773.84</v>
      </c>
      <c r="I110" s="22">
        <v>3579.53</v>
      </c>
      <c r="J110" s="22">
        <v>3416.23</v>
      </c>
      <c r="K110" s="22">
        <v>1027.53</v>
      </c>
      <c r="L110" s="22">
        <v>2126.9700000000003</v>
      </c>
      <c r="M110" s="22">
        <v>709.77</v>
      </c>
      <c r="N110" s="43">
        <v>69649.710000000006</v>
      </c>
      <c r="O110" s="42">
        <v>35792.75</v>
      </c>
      <c r="P110" s="42">
        <v>11787.11</v>
      </c>
      <c r="Q110" s="49">
        <v>120941.76000000001</v>
      </c>
      <c r="R110" s="39">
        <v>183806.81</v>
      </c>
      <c r="S110" s="41">
        <v>343131.5</v>
      </c>
      <c r="T110" s="41">
        <v>103983.68000000001</v>
      </c>
      <c r="U110" s="16">
        <f t="shared" si="17"/>
        <v>-239147.82</v>
      </c>
      <c r="V110" s="45">
        <f t="shared" si="18"/>
        <v>-0.69695676438916276</v>
      </c>
    </row>
    <row r="111" spans="1:22" x14ac:dyDescent="0.2">
      <c r="A111" s="3">
        <v>701301</v>
      </c>
      <c r="B111" s="3" t="s">
        <v>339</v>
      </c>
      <c r="C111" s="1">
        <v>721135</v>
      </c>
      <c r="D111" s="1" t="s">
        <v>83</v>
      </c>
      <c r="E111" s="22">
        <v>23940</v>
      </c>
      <c r="F111" s="22">
        <v>16798.8</v>
      </c>
      <c r="G111" s="22">
        <v>17253.400000000001</v>
      </c>
      <c r="H111" s="22">
        <v>19019.100000000002</v>
      </c>
      <c r="I111" s="22">
        <v>20105</v>
      </c>
      <c r="J111" s="22">
        <v>19470</v>
      </c>
      <c r="K111" s="22">
        <v>20090</v>
      </c>
      <c r="L111" s="22">
        <v>19470</v>
      </c>
      <c r="M111" s="22">
        <v>19469.5</v>
      </c>
      <c r="N111" s="43">
        <v>22969</v>
      </c>
      <c r="O111" s="42">
        <v>20109.7</v>
      </c>
      <c r="P111" s="42">
        <v>20750.400000000001</v>
      </c>
      <c r="Q111" s="49">
        <v>20750.400000000001</v>
      </c>
      <c r="R111" s="39">
        <v>25855.4</v>
      </c>
      <c r="S111" s="41">
        <v>21455.4</v>
      </c>
      <c r="T111" s="41">
        <v>23225.4</v>
      </c>
      <c r="U111" s="16">
        <f t="shared" si="17"/>
        <v>1770</v>
      </c>
      <c r="V111" s="45">
        <f t="shared" si="18"/>
        <v>8.2496714113929351E-2</v>
      </c>
    </row>
    <row r="112" spans="1:22" x14ac:dyDescent="0.2">
      <c r="A112" s="3">
        <v>701403</v>
      </c>
      <c r="B112" s="3" t="s">
        <v>342</v>
      </c>
      <c r="C112" s="1">
        <v>721140</v>
      </c>
      <c r="D112" s="1" t="s">
        <v>84</v>
      </c>
      <c r="E112" s="22">
        <v>107316.32999999997</v>
      </c>
      <c r="F112" s="22">
        <v>179388.31</v>
      </c>
      <c r="G112" s="22">
        <v>176532.33999999997</v>
      </c>
      <c r="H112" s="22">
        <v>77836.98</v>
      </c>
      <c r="I112" s="22">
        <v>94361.87000000001</v>
      </c>
      <c r="J112" s="22">
        <v>87937.93</v>
      </c>
      <c r="K112" s="22">
        <v>60894.350000000006</v>
      </c>
      <c r="L112" s="22">
        <v>59167.900000000009</v>
      </c>
      <c r="M112" s="22">
        <v>63845.630000000005</v>
      </c>
      <c r="N112" s="43">
        <v>110161.41999999998</v>
      </c>
      <c r="O112" s="42">
        <v>163784.45000000001</v>
      </c>
      <c r="P112" s="42">
        <v>60211</v>
      </c>
      <c r="Q112" s="49">
        <v>80606.23</v>
      </c>
      <c r="R112" s="39">
        <v>60844.750000000007</v>
      </c>
      <c r="S112" s="41">
        <v>49662.479999999989</v>
      </c>
      <c r="T112" s="41">
        <v>93776.150000000009</v>
      </c>
      <c r="U112" s="16">
        <f t="shared" si="17"/>
        <v>44113.67000000002</v>
      </c>
      <c r="V112" s="45">
        <f t="shared" si="18"/>
        <v>0.88826957493866654</v>
      </c>
    </row>
    <row r="113" spans="1:22" x14ac:dyDescent="0.2">
      <c r="A113" s="3">
        <v>701302</v>
      </c>
      <c r="B113" s="3" t="s">
        <v>340</v>
      </c>
      <c r="C113" s="1">
        <v>721145</v>
      </c>
      <c r="D113" s="1" t="s">
        <v>85</v>
      </c>
      <c r="E113" s="22">
        <v>196829.64</v>
      </c>
      <c r="F113" s="22">
        <v>279384.20999999996</v>
      </c>
      <c r="G113" s="22">
        <v>261688.55</v>
      </c>
      <c r="H113" s="22">
        <v>122721.41</v>
      </c>
      <c r="I113" s="22">
        <v>135086.72</v>
      </c>
      <c r="J113" s="22">
        <v>83451.25</v>
      </c>
      <c r="K113" s="22">
        <v>116959.02</v>
      </c>
      <c r="L113" s="22">
        <v>172296.94000000003</v>
      </c>
      <c r="M113" s="22">
        <v>207353.67</v>
      </c>
      <c r="N113" s="43">
        <v>65683.72</v>
      </c>
      <c r="O113" s="42">
        <v>69478.840000000011</v>
      </c>
      <c r="P113" s="42">
        <v>182198.31</v>
      </c>
      <c r="Q113" s="49">
        <v>212868.19</v>
      </c>
      <c r="R113" s="39">
        <v>240946.13999999998</v>
      </c>
      <c r="S113" s="41">
        <v>338571.50000000006</v>
      </c>
      <c r="T113" s="41">
        <v>141318.21000000002</v>
      </c>
      <c r="U113" s="16">
        <f t="shared" si="17"/>
        <v>-197253.29000000004</v>
      </c>
      <c r="V113" s="45">
        <f t="shared" si="18"/>
        <v>-0.58260453109609045</v>
      </c>
    </row>
    <row r="114" spans="1:22" x14ac:dyDescent="0.2">
      <c r="A114" s="3">
        <v>701400</v>
      </c>
      <c r="B114" s="3" t="s">
        <v>341</v>
      </c>
      <c r="C114" s="1">
        <v>721146</v>
      </c>
      <c r="D114" s="1" t="s">
        <v>86</v>
      </c>
      <c r="E114" s="22"/>
      <c r="F114" s="22"/>
      <c r="G114" s="22">
        <v>3000</v>
      </c>
      <c r="H114" s="22">
        <v>750</v>
      </c>
      <c r="I114" s="22"/>
      <c r="J114" s="22">
        <v>1000</v>
      </c>
      <c r="K114" s="22"/>
      <c r="L114" s="22">
        <v>750</v>
      </c>
      <c r="M114" s="22">
        <v>350</v>
      </c>
      <c r="N114" s="43">
        <v>2850</v>
      </c>
      <c r="O114" s="22"/>
      <c r="P114" s="22">
        <v>500</v>
      </c>
      <c r="Q114" s="49">
        <v>1150</v>
      </c>
      <c r="R114" s="39">
        <v>250</v>
      </c>
      <c r="S114" s="39"/>
      <c r="T114" s="39"/>
      <c r="U114" s="16">
        <f t="shared" si="17"/>
        <v>0</v>
      </c>
      <c r="V114" s="45" t="e">
        <f t="shared" si="18"/>
        <v>#DIV/0!</v>
      </c>
    </row>
    <row r="115" spans="1:22" x14ac:dyDescent="0.2">
      <c r="A115" s="3">
        <v>701406</v>
      </c>
      <c r="B115" s="3" t="s">
        <v>345</v>
      </c>
      <c r="C115" s="1">
        <v>721150</v>
      </c>
      <c r="D115" s="1" t="s">
        <v>87</v>
      </c>
      <c r="E115" s="22">
        <v>3863</v>
      </c>
      <c r="F115" s="22">
        <v>20210.7</v>
      </c>
      <c r="G115" s="22">
        <v>6220</v>
      </c>
      <c r="H115" s="22">
        <v>46169</v>
      </c>
      <c r="I115" s="22">
        <v>44267.360000000001</v>
      </c>
      <c r="J115" s="22">
        <v>34556.639999999999</v>
      </c>
      <c r="K115" s="22">
        <v>45630</v>
      </c>
      <c r="L115" s="22">
        <v>52502.5</v>
      </c>
      <c r="M115" s="22">
        <v>58700</v>
      </c>
      <c r="N115" s="43">
        <v>72455</v>
      </c>
      <c r="O115" s="42">
        <v>75996</v>
      </c>
      <c r="P115" s="42">
        <v>9840</v>
      </c>
      <c r="Q115" s="49">
        <v>10100</v>
      </c>
      <c r="R115" s="39">
        <v>14550</v>
      </c>
      <c r="S115" s="41">
        <v>3010.2599999999998</v>
      </c>
      <c r="T115" s="41">
        <v>3032.6</v>
      </c>
      <c r="U115" s="16">
        <f t="shared" si="17"/>
        <v>22.340000000000146</v>
      </c>
      <c r="V115" s="45">
        <f t="shared" si="18"/>
        <v>7.4212858689947534E-3</v>
      </c>
    </row>
    <row r="116" spans="1:22" x14ac:dyDescent="0.2">
      <c r="A116" s="3">
        <v>701406</v>
      </c>
      <c r="B116" s="3" t="s">
        <v>345</v>
      </c>
      <c r="C116" s="57">
        <v>721152</v>
      </c>
      <c r="D116" s="57" t="s">
        <v>187</v>
      </c>
      <c r="E116" s="22"/>
      <c r="F116" s="22"/>
      <c r="G116" s="22"/>
      <c r="H116" s="22">
        <v>1098</v>
      </c>
      <c r="I116" s="22">
        <v>628</v>
      </c>
      <c r="J116" s="22">
        <v>1870</v>
      </c>
      <c r="K116" s="22">
        <v>4930</v>
      </c>
      <c r="L116" s="22"/>
      <c r="M116" s="22"/>
      <c r="N116" s="22"/>
      <c r="O116" s="22"/>
      <c r="P116" s="22"/>
      <c r="Q116" s="22"/>
      <c r="R116" s="22"/>
      <c r="S116" s="22"/>
      <c r="T116" s="22"/>
      <c r="U116" s="16">
        <f t="shared" si="17"/>
        <v>0</v>
      </c>
      <c r="V116" s="45" t="e">
        <f t="shared" si="18"/>
        <v>#DIV/0!</v>
      </c>
    </row>
    <row r="117" spans="1:22" x14ac:dyDescent="0.2">
      <c r="A117">
        <v>701303</v>
      </c>
      <c r="B117" t="s">
        <v>439</v>
      </c>
      <c r="C117" s="37">
        <v>721155</v>
      </c>
      <c r="D117" s="37" t="s">
        <v>259</v>
      </c>
      <c r="E117" s="22"/>
      <c r="F117" s="22"/>
      <c r="G117" s="22"/>
      <c r="H117" s="22"/>
      <c r="I117" s="22"/>
      <c r="J117" s="22"/>
      <c r="K117" s="22"/>
      <c r="L117" s="22"/>
      <c r="M117" s="22"/>
      <c r="N117" s="22"/>
      <c r="O117" s="22"/>
      <c r="P117" s="22"/>
      <c r="Q117" s="22"/>
      <c r="R117" s="39">
        <v>9670</v>
      </c>
      <c r="S117" s="39"/>
      <c r="T117" s="39"/>
      <c r="U117" s="16">
        <f t="shared" si="17"/>
        <v>0</v>
      </c>
      <c r="V117" s="45" t="e">
        <f t="shared" si="18"/>
        <v>#DIV/0!</v>
      </c>
    </row>
    <row r="118" spans="1:22" x14ac:dyDescent="0.2">
      <c r="A118" s="3">
        <v>701405</v>
      </c>
      <c r="B118" s="3" t="s">
        <v>344</v>
      </c>
      <c r="C118" s="1">
        <v>721160</v>
      </c>
      <c r="D118" s="1" t="s">
        <v>88</v>
      </c>
      <c r="E118" s="22">
        <v>250</v>
      </c>
      <c r="F118" s="22">
        <v>875</v>
      </c>
      <c r="G118" s="22">
        <v>40664.400000000001</v>
      </c>
      <c r="H118" s="22"/>
      <c r="I118" s="22">
        <v>3402.5</v>
      </c>
      <c r="J118" s="22"/>
      <c r="K118" s="22"/>
      <c r="L118" s="22"/>
      <c r="M118" s="22">
        <v>19090.439999999999</v>
      </c>
      <c r="N118" s="43">
        <v>35656.6</v>
      </c>
      <c r="O118" s="42">
        <v>3457.88</v>
      </c>
      <c r="P118" s="42">
        <v>876.80000000000007</v>
      </c>
      <c r="Q118" s="42"/>
      <c r="R118" s="39">
        <v>12054.59</v>
      </c>
      <c r="S118" s="41">
        <v>14425.2</v>
      </c>
      <c r="T118" s="41"/>
      <c r="U118" s="16">
        <f t="shared" si="17"/>
        <v>-14425.2</v>
      </c>
      <c r="V118" s="45">
        <f t="shared" si="18"/>
        <v>-1</v>
      </c>
    </row>
    <row r="119" spans="1:22" x14ac:dyDescent="0.2">
      <c r="A119" s="3">
        <v>701500</v>
      </c>
      <c r="B119" s="3" t="s">
        <v>346</v>
      </c>
      <c r="C119" s="1">
        <v>722100</v>
      </c>
      <c r="D119" s="1" t="s">
        <v>89</v>
      </c>
      <c r="E119" s="22">
        <v>97711.23</v>
      </c>
      <c r="F119" s="22">
        <v>116908.93</v>
      </c>
      <c r="G119" s="22">
        <v>116357.1</v>
      </c>
      <c r="H119" s="22">
        <v>132692.56</v>
      </c>
      <c r="I119" s="22">
        <v>130105.81999999999</v>
      </c>
      <c r="J119" s="22">
        <v>151494.36000000004</v>
      </c>
      <c r="K119" s="22">
        <v>129523.08</v>
      </c>
      <c r="L119" s="22">
        <v>185956.19</v>
      </c>
      <c r="M119" s="22">
        <v>123896.12999999999</v>
      </c>
      <c r="N119" s="43">
        <v>152854.19000000003</v>
      </c>
      <c r="O119" s="42">
        <v>188427.24000000002</v>
      </c>
      <c r="P119" s="42">
        <v>182261.65999999997</v>
      </c>
      <c r="Q119" s="49">
        <v>164820.76</v>
      </c>
      <c r="R119" s="39">
        <v>168490.83000000002</v>
      </c>
      <c r="S119" s="41">
        <v>172770.83999999997</v>
      </c>
      <c r="T119" s="41">
        <v>181291.56999999998</v>
      </c>
      <c r="U119" s="16">
        <f t="shared" si="17"/>
        <v>8520.7300000000105</v>
      </c>
      <c r="V119" s="45">
        <f t="shared" si="18"/>
        <v>4.9318102522393319E-2</v>
      </c>
    </row>
    <row r="120" spans="1:22" x14ac:dyDescent="0.2">
      <c r="A120" s="3">
        <v>701501</v>
      </c>
      <c r="B120" s="3" t="s">
        <v>90</v>
      </c>
      <c r="C120" s="1">
        <v>722105</v>
      </c>
      <c r="D120" s="1" t="s">
        <v>90</v>
      </c>
      <c r="E120" s="22">
        <v>4784.3999999999996</v>
      </c>
      <c r="F120" s="22">
        <v>8185.6399999999994</v>
      </c>
      <c r="G120" s="22">
        <v>3927.68</v>
      </c>
      <c r="H120" s="22">
        <v>4020.67</v>
      </c>
      <c r="I120" s="22">
        <v>70.400000000000006</v>
      </c>
      <c r="J120" s="22">
        <v>10978.5</v>
      </c>
      <c r="K120" s="22">
        <v>761.1</v>
      </c>
      <c r="L120" s="22">
        <v>486</v>
      </c>
      <c r="M120" s="22"/>
      <c r="N120" s="43">
        <v>-919.59000000000015</v>
      </c>
      <c r="O120" s="42">
        <v>4026.4900000000002</v>
      </c>
      <c r="P120" s="42">
        <v>1646</v>
      </c>
      <c r="Q120" s="49">
        <v>44.7</v>
      </c>
      <c r="R120" s="39">
        <v>1484.3</v>
      </c>
      <c r="S120" s="41">
        <v>808.63000000000011</v>
      </c>
      <c r="T120" s="41">
        <v>2139.98</v>
      </c>
      <c r="U120" s="16">
        <f t="shared" si="17"/>
        <v>1331.35</v>
      </c>
      <c r="V120" s="45">
        <f t="shared" si="18"/>
        <v>1.6464266722728562</v>
      </c>
    </row>
    <row r="121" spans="1:22" x14ac:dyDescent="0.2">
      <c r="A121" s="3">
        <v>701502</v>
      </c>
      <c r="B121" s="3" t="s">
        <v>91</v>
      </c>
      <c r="C121" s="1">
        <v>722110</v>
      </c>
      <c r="D121" s="1" t="s">
        <v>91</v>
      </c>
      <c r="E121" s="22">
        <v>31659</v>
      </c>
      <c r="F121" s="22"/>
      <c r="G121" s="22">
        <v>60</v>
      </c>
      <c r="H121" s="22">
        <v>10</v>
      </c>
      <c r="I121" s="22">
        <v>125.87</v>
      </c>
      <c r="J121" s="22">
        <v>174</v>
      </c>
      <c r="K121" s="22">
        <v>34</v>
      </c>
      <c r="L121" s="22">
        <v>36</v>
      </c>
      <c r="M121" s="22">
        <v>116</v>
      </c>
      <c r="N121" s="43">
        <v>33</v>
      </c>
      <c r="O121" s="42">
        <v>24</v>
      </c>
      <c r="P121" s="42">
        <v>23.96</v>
      </c>
      <c r="Q121" s="49">
        <v>5267</v>
      </c>
      <c r="R121" s="39">
        <v>178</v>
      </c>
      <c r="S121" s="41">
        <v>5138.7700000000004</v>
      </c>
      <c r="T121" s="41">
        <v>3679.98</v>
      </c>
      <c r="U121" s="16">
        <f t="shared" si="17"/>
        <v>-1458.7900000000004</v>
      </c>
      <c r="V121" s="45">
        <f t="shared" si="18"/>
        <v>-0.28387921623267831</v>
      </c>
    </row>
    <row r="122" spans="1:22" x14ac:dyDescent="0.2">
      <c r="A122" s="3">
        <v>701600</v>
      </c>
      <c r="B122" s="3" t="s">
        <v>92</v>
      </c>
      <c r="C122" s="1">
        <v>723100</v>
      </c>
      <c r="D122" s="1" t="s">
        <v>92</v>
      </c>
      <c r="E122" s="22">
        <v>8037.37</v>
      </c>
      <c r="F122" s="22">
        <v>10064.210000000001</v>
      </c>
      <c r="G122" s="22">
        <v>17855.850000000002</v>
      </c>
      <c r="H122" s="22">
        <v>23383.68</v>
      </c>
      <c r="I122" s="22">
        <v>17000.920000000002</v>
      </c>
      <c r="J122" s="22">
        <v>16348.94</v>
      </c>
      <c r="K122" s="22">
        <v>17059.02</v>
      </c>
      <c r="L122" s="22">
        <v>14903.54</v>
      </c>
      <c r="M122" s="22">
        <v>14558.53</v>
      </c>
      <c r="N122" s="43">
        <v>13220.48</v>
      </c>
      <c r="O122" s="42">
        <v>14439.95</v>
      </c>
      <c r="P122" s="42">
        <v>12475.960000000001</v>
      </c>
      <c r="Q122" s="49">
        <v>13777.32</v>
      </c>
      <c r="R122" s="39">
        <v>12574.77</v>
      </c>
      <c r="S122" s="41">
        <v>14533.65</v>
      </c>
      <c r="T122" s="41">
        <v>12402.28</v>
      </c>
      <c r="U122" s="16">
        <f t="shared" si="17"/>
        <v>-2131.369999999999</v>
      </c>
      <c r="V122" s="45">
        <f t="shared" si="18"/>
        <v>-0.14665070371173097</v>
      </c>
    </row>
    <row r="123" spans="1:22" x14ac:dyDescent="0.2">
      <c r="A123" s="3">
        <v>701601</v>
      </c>
      <c r="B123" s="3" t="s">
        <v>267</v>
      </c>
      <c r="C123" s="57">
        <v>723110</v>
      </c>
      <c r="D123" s="57" t="s">
        <v>267</v>
      </c>
      <c r="E123" s="22">
        <v>12170.47</v>
      </c>
      <c r="F123" s="22">
        <v>11915.19</v>
      </c>
      <c r="G123" s="22">
        <v>12393.49</v>
      </c>
      <c r="H123" s="22">
        <v>16999.439999999999</v>
      </c>
      <c r="I123" s="22">
        <v>22429.55</v>
      </c>
      <c r="J123" s="22">
        <v>19735.240000000002</v>
      </c>
      <c r="K123" s="22">
        <v>20191.75</v>
      </c>
      <c r="L123" s="22">
        <v>21296.53</v>
      </c>
      <c r="M123" s="22">
        <v>21953.03</v>
      </c>
      <c r="N123" s="43">
        <v>21643</v>
      </c>
      <c r="O123" s="42">
        <v>22960.41</v>
      </c>
      <c r="P123" s="42">
        <v>20785.84</v>
      </c>
      <c r="Q123" s="49">
        <v>24106.09</v>
      </c>
      <c r="R123" s="39">
        <v>20584.62</v>
      </c>
      <c r="S123" s="41">
        <v>39549.050000000003</v>
      </c>
      <c r="T123" s="41">
        <v>9287.89</v>
      </c>
      <c r="U123" s="16">
        <f t="shared" si="17"/>
        <v>-30261.160000000003</v>
      </c>
      <c r="V123" s="45">
        <f t="shared" si="18"/>
        <v>-0.76515516807609796</v>
      </c>
    </row>
    <row r="124" spans="1:22" x14ac:dyDescent="0.2">
      <c r="A124" s="3">
        <v>701602</v>
      </c>
      <c r="B124" s="3" t="s">
        <v>93</v>
      </c>
      <c r="C124" s="1">
        <v>723120</v>
      </c>
      <c r="D124" s="1" t="s">
        <v>93</v>
      </c>
      <c r="E124" s="22">
        <v>564234.14</v>
      </c>
      <c r="F124" s="22">
        <v>607820.04</v>
      </c>
      <c r="G124" s="22">
        <v>659699.91</v>
      </c>
      <c r="H124" s="22">
        <v>636315.09</v>
      </c>
      <c r="I124" s="22">
        <v>615389.15</v>
      </c>
      <c r="J124" s="22">
        <v>616847.94000000006</v>
      </c>
      <c r="K124" s="22">
        <v>287352.41000000003</v>
      </c>
      <c r="L124" s="22">
        <v>127445.7</v>
      </c>
      <c r="M124" s="22">
        <v>125502.37</v>
      </c>
      <c r="N124" s="43">
        <v>130637.47</v>
      </c>
      <c r="O124" s="42">
        <v>124769.73</v>
      </c>
      <c r="P124" s="42">
        <v>127794.53</v>
      </c>
      <c r="Q124" s="49">
        <v>41334.21</v>
      </c>
      <c r="R124" s="39">
        <v>40</v>
      </c>
      <c r="S124" s="41">
        <v>42.25</v>
      </c>
      <c r="T124" s="41">
        <v>12525.320000000002</v>
      </c>
      <c r="U124" s="16">
        <f t="shared" si="17"/>
        <v>12483.070000000002</v>
      </c>
      <c r="V124" s="45">
        <f t="shared" si="18"/>
        <v>295.45727810650891</v>
      </c>
    </row>
    <row r="125" spans="1:22" x14ac:dyDescent="0.2">
      <c r="A125" s="3">
        <v>701603</v>
      </c>
      <c r="B125" s="3" t="s">
        <v>94</v>
      </c>
      <c r="C125" s="1">
        <v>723130</v>
      </c>
      <c r="D125" s="1" t="s">
        <v>94</v>
      </c>
      <c r="E125" s="22">
        <v>49297.1</v>
      </c>
      <c r="F125" s="22">
        <v>188785.65000000005</v>
      </c>
      <c r="G125" s="22">
        <v>109256.64</v>
      </c>
      <c r="H125" s="22">
        <v>53815.160000000011</v>
      </c>
      <c r="I125" s="22">
        <v>37495.21</v>
      </c>
      <c r="J125" s="22">
        <v>59373.009999999995</v>
      </c>
      <c r="K125" s="22">
        <v>100124.2</v>
      </c>
      <c r="L125" s="22">
        <v>32850.490000000005</v>
      </c>
      <c r="M125" s="22">
        <v>16720.07</v>
      </c>
      <c r="N125" s="43">
        <v>56228.69</v>
      </c>
      <c r="O125" s="42">
        <v>47138.87000000001</v>
      </c>
      <c r="P125" s="42">
        <v>72085.8</v>
      </c>
      <c r="Q125" s="49">
        <v>61605.659999999996</v>
      </c>
      <c r="R125" s="39">
        <v>117674.53</v>
      </c>
      <c r="S125" s="41">
        <v>87880.500000000015</v>
      </c>
      <c r="T125" s="41">
        <v>108091.17</v>
      </c>
      <c r="U125" s="16">
        <f t="shared" si="17"/>
        <v>20210.669999999984</v>
      </c>
      <c r="V125" s="45">
        <f t="shared" si="18"/>
        <v>0.22997900558144277</v>
      </c>
    </row>
    <row r="126" spans="1:22" x14ac:dyDescent="0.2">
      <c r="A126" s="3">
        <v>705001</v>
      </c>
      <c r="B126" s="3" t="s">
        <v>357</v>
      </c>
      <c r="C126" s="57">
        <v>731100</v>
      </c>
      <c r="D126" s="57" t="s">
        <v>188</v>
      </c>
      <c r="E126" s="22"/>
      <c r="F126" s="22"/>
      <c r="G126" s="22"/>
      <c r="H126" s="22"/>
      <c r="I126" s="22"/>
      <c r="J126" s="22"/>
      <c r="K126" s="22"/>
      <c r="L126" s="22"/>
      <c r="M126" s="22"/>
      <c r="N126" s="43"/>
      <c r="O126" s="42"/>
      <c r="P126" s="42"/>
      <c r="Q126" s="49"/>
      <c r="R126" s="39"/>
      <c r="S126" s="41">
        <v>647.66999999999996</v>
      </c>
      <c r="T126" s="41"/>
      <c r="U126" s="16">
        <f t="shared" si="17"/>
        <v>-647.66999999999996</v>
      </c>
      <c r="V126" s="45">
        <f t="shared" si="18"/>
        <v>-1</v>
      </c>
    </row>
    <row r="127" spans="1:22" x14ac:dyDescent="0.2">
      <c r="A127" s="72">
        <v>705101</v>
      </c>
      <c r="B127" s="72" t="s">
        <v>361</v>
      </c>
      <c r="C127" s="72">
        <v>731105</v>
      </c>
      <c r="D127" s="72" t="s">
        <v>189</v>
      </c>
      <c r="E127" s="22"/>
      <c r="F127" s="22"/>
      <c r="G127" s="22"/>
      <c r="H127" s="22"/>
      <c r="I127" s="22"/>
      <c r="J127" s="22"/>
      <c r="K127" s="22"/>
      <c r="L127" s="22"/>
      <c r="M127" s="22"/>
      <c r="N127" s="43"/>
      <c r="O127" s="42"/>
      <c r="P127" s="42"/>
      <c r="Q127" s="49"/>
      <c r="R127" s="39"/>
      <c r="S127" s="41">
        <v>956.86</v>
      </c>
      <c r="T127" s="41"/>
      <c r="U127" s="16">
        <f t="shared" si="17"/>
        <v>-956.86</v>
      </c>
      <c r="V127" s="45">
        <f t="shared" si="18"/>
        <v>-1</v>
      </c>
    </row>
    <row r="128" spans="1:22" x14ac:dyDescent="0.2">
      <c r="A128" s="3">
        <v>705102</v>
      </c>
      <c r="B128" s="3" t="s">
        <v>362</v>
      </c>
      <c r="C128" s="1">
        <v>731205</v>
      </c>
      <c r="D128" s="1" t="s">
        <v>95</v>
      </c>
      <c r="E128" s="22">
        <v>273.2</v>
      </c>
      <c r="F128" s="22"/>
      <c r="G128" s="22"/>
      <c r="H128" s="22"/>
      <c r="I128" s="22"/>
      <c r="J128" s="22"/>
      <c r="K128" s="22"/>
      <c r="L128" s="22"/>
      <c r="M128" s="22"/>
      <c r="N128" s="22"/>
      <c r="O128" s="22"/>
      <c r="P128" s="22"/>
      <c r="Q128" s="22"/>
      <c r="R128" s="22"/>
      <c r="S128" s="22"/>
      <c r="T128" s="22"/>
      <c r="U128" s="16">
        <f t="shared" si="17"/>
        <v>0</v>
      </c>
      <c r="V128" s="45" t="e">
        <f t="shared" si="18"/>
        <v>#DIV/0!</v>
      </c>
    </row>
    <row r="129" spans="1:22" x14ac:dyDescent="0.2">
      <c r="A129" s="3">
        <v>705000</v>
      </c>
      <c r="B129" s="3" t="s">
        <v>356</v>
      </c>
      <c r="C129" s="1">
        <v>732100</v>
      </c>
      <c r="D129" s="1" t="s">
        <v>96</v>
      </c>
      <c r="E129" s="22">
        <v>41698.549999999996</v>
      </c>
      <c r="F129" s="22">
        <v>34473.35</v>
      </c>
      <c r="G129" s="22">
        <v>41370.070000000007</v>
      </c>
      <c r="H129" s="22">
        <v>41829.720000000008</v>
      </c>
      <c r="I129" s="22">
        <v>28889.22</v>
      </c>
      <c r="J129" s="22">
        <v>28487.9</v>
      </c>
      <c r="K129" s="22">
        <v>31960.190000000002</v>
      </c>
      <c r="L129" s="22">
        <v>17852.46</v>
      </c>
      <c r="M129" s="22">
        <v>35052.289999999994</v>
      </c>
      <c r="N129" s="43">
        <v>2494.1699999999996</v>
      </c>
      <c r="O129" s="42">
        <v>4818.8799999999992</v>
      </c>
      <c r="P129" s="42">
        <v>5915.7099999999991</v>
      </c>
      <c r="Q129" s="49">
        <v>6647.4000000000005</v>
      </c>
      <c r="R129" s="39">
        <v>2015.22</v>
      </c>
      <c r="S129" s="41">
        <v>2909.13</v>
      </c>
      <c r="T129" s="41">
        <v>855.84</v>
      </c>
      <c r="U129" s="16">
        <f t="shared" si="17"/>
        <v>-2053.29</v>
      </c>
      <c r="V129" s="45">
        <f t="shared" si="18"/>
        <v>-0.70580895319219139</v>
      </c>
    </row>
    <row r="130" spans="1:22" x14ac:dyDescent="0.2">
      <c r="A130" s="3">
        <v>705100</v>
      </c>
      <c r="B130" s="3" t="s">
        <v>360</v>
      </c>
      <c r="C130" s="1">
        <v>732105</v>
      </c>
      <c r="D130" s="1" t="s">
        <v>97</v>
      </c>
      <c r="E130" s="22">
        <v>55335.030000000013</v>
      </c>
      <c r="F130" s="22">
        <v>83948.459999999992</v>
      </c>
      <c r="G130" s="22">
        <v>98623.830000000031</v>
      </c>
      <c r="H130" s="22">
        <v>71725.34</v>
      </c>
      <c r="I130" s="22">
        <v>99920.499999999985</v>
      </c>
      <c r="J130" s="22">
        <v>75739.109999999986</v>
      </c>
      <c r="K130" s="22">
        <v>87050.52</v>
      </c>
      <c r="L130" s="22">
        <v>72558.2</v>
      </c>
      <c r="M130" s="22">
        <v>93889.160000000018</v>
      </c>
      <c r="N130" s="43">
        <v>83546.84</v>
      </c>
      <c r="O130" s="42">
        <v>85810.049999999974</v>
      </c>
      <c r="P130" s="42">
        <v>78812.61</v>
      </c>
      <c r="Q130" s="49">
        <v>72869.78</v>
      </c>
      <c r="R130" s="39">
        <v>63064.5</v>
      </c>
      <c r="S130" s="41">
        <v>71106.790000000008</v>
      </c>
      <c r="T130" s="41">
        <v>529.35</v>
      </c>
      <c r="U130" s="16">
        <f t="shared" si="17"/>
        <v>-70577.440000000002</v>
      </c>
      <c r="V130" s="45">
        <f t="shared" si="18"/>
        <v>-0.99255556325914862</v>
      </c>
    </row>
    <row r="131" spans="1:22" x14ac:dyDescent="0.2">
      <c r="A131" s="3">
        <v>705300</v>
      </c>
      <c r="B131" s="3" t="s">
        <v>98</v>
      </c>
      <c r="C131" s="1">
        <v>732110</v>
      </c>
      <c r="D131" s="1" t="s">
        <v>98</v>
      </c>
      <c r="E131" s="22">
        <v>6661.79</v>
      </c>
      <c r="F131" s="22">
        <v>1030.3399999999999</v>
      </c>
      <c r="G131" s="22">
        <v>26428.100000000002</v>
      </c>
      <c r="H131" s="22">
        <v>3164.3900000000003</v>
      </c>
      <c r="I131" s="22">
        <v>1665.98</v>
      </c>
      <c r="J131" s="22">
        <v>3501.6000000000004</v>
      </c>
      <c r="K131" s="22">
        <v>3843.7100000000005</v>
      </c>
      <c r="L131" s="22">
        <v>5061.72</v>
      </c>
      <c r="M131" s="22">
        <v>18118.72</v>
      </c>
      <c r="N131" s="43">
        <v>4989.3900000000003</v>
      </c>
      <c r="O131" s="42">
        <v>2375.0300000000002</v>
      </c>
      <c r="P131" s="42">
        <v>3036.94</v>
      </c>
      <c r="Q131" s="49">
        <v>2356.4700000000003</v>
      </c>
      <c r="R131" s="39">
        <v>7209.06</v>
      </c>
      <c r="S131" s="41">
        <v>475.66</v>
      </c>
      <c r="T131" s="41"/>
      <c r="U131" s="16">
        <f t="shared" si="17"/>
        <v>-475.66</v>
      </c>
      <c r="V131" s="45">
        <f t="shared" si="18"/>
        <v>-1</v>
      </c>
    </row>
    <row r="132" spans="1:22" x14ac:dyDescent="0.2">
      <c r="A132" s="3">
        <v>705500</v>
      </c>
      <c r="B132" s="3" t="s">
        <v>363</v>
      </c>
      <c r="C132" s="1">
        <v>732115</v>
      </c>
      <c r="D132" s="1" t="s">
        <v>99</v>
      </c>
      <c r="E132" s="22">
        <v>510.57</v>
      </c>
      <c r="F132" s="22">
        <v>689.47</v>
      </c>
      <c r="G132" s="22">
        <v>98.06</v>
      </c>
      <c r="H132" s="22">
        <v>1057.54</v>
      </c>
      <c r="I132" s="22">
        <v>120.56</v>
      </c>
      <c r="J132" s="22">
        <v>472.5</v>
      </c>
      <c r="K132" s="22">
        <v>73.710000000000008</v>
      </c>
      <c r="L132" s="22">
        <v>813.6</v>
      </c>
      <c r="M132" s="22">
        <v>1331.94</v>
      </c>
      <c r="N132" s="43">
        <v>232.41</v>
      </c>
      <c r="O132" s="42">
        <v>248</v>
      </c>
      <c r="P132" s="42">
        <v>1342.69</v>
      </c>
      <c r="Q132" s="49"/>
      <c r="R132" s="39">
        <v>1484.41</v>
      </c>
      <c r="S132" s="41">
        <v>20.88</v>
      </c>
      <c r="T132" s="41"/>
      <c r="U132" s="16">
        <f t="shared" si="17"/>
        <v>-20.88</v>
      </c>
      <c r="V132" s="45">
        <f t="shared" si="18"/>
        <v>-1</v>
      </c>
    </row>
    <row r="133" spans="1:22" x14ac:dyDescent="0.2">
      <c r="A133" s="3">
        <v>705003</v>
      </c>
      <c r="B133" s="3" t="s">
        <v>359</v>
      </c>
      <c r="C133" s="1">
        <v>732200</v>
      </c>
      <c r="D133" s="1" t="s">
        <v>100</v>
      </c>
      <c r="E133" s="22">
        <v>54000.36</v>
      </c>
      <c r="F133" s="22">
        <v>26762</v>
      </c>
      <c r="G133" s="22">
        <v>19096.080000000002</v>
      </c>
      <c r="H133" s="22">
        <v>1710</v>
      </c>
      <c r="I133" s="22">
        <v>3391.5</v>
      </c>
      <c r="J133" s="22">
        <v>23553.1</v>
      </c>
      <c r="K133" s="22">
        <v>17545.059999999998</v>
      </c>
      <c r="L133" s="22">
        <v>30748</v>
      </c>
      <c r="M133" s="22">
        <v>4044.95</v>
      </c>
      <c r="N133" s="43">
        <v>41866.07</v>
      </c>
      <c r="O133" s="42">
        <v>18145.07</v>
      </c>
      <c r="P133" s="42">
        <v>38648.33</v>
      </c>
      <c r="Q133" s="42">
        <v>9894</v>
      </c>
      <c r="R133" s="39">
        <v>13700.75</v>
      </c>
      <c r="S133" s="41">
        <v>9274.25</v>
      </c>
      <c r="T133" s="41"/>
      <c r="U133" s="16">
        <f t="shared" si="17"/>
        <v>-9274.25</v>
      </c>
      <c r="V133" s="45">
        <f t="shared" si="18"/>
        <v>-1</v>
      </c>
    </row>
    <row r="134" spans="1:22" x14ac:dyDescent="0.2">
      <c r="A134" s="3">
        <v>705103</v>
      </c>
      <c r="B134" s="3" t="s">
        <v>440</v>
      </c>
      <c r="C134" s="1">
        <v>732205</v>
      </c>
      <c r="D134" s="1" t="s">
        <v>101</v>
      </c>
      <c r="N134" s="43">
        <v>7500</v>
      </c>
      <c r="R134" s="39">
        <v>7844.4000000000005</v>
      </c>
      <c r="S134" s="39"/>
      <c r="T134" s="39"/>
      <c r="U134" s="16">
        <f t="shared" si="17"/>
        <v>0</v>
      </c>
      <c r="V134" s="45" t="e">
        <f t="shared" si="18"/>
        <v>#DIV/0!</v>
      </c>
    </row>
    <row r="135" spans="1:22" x14ac:dyDescent="0.2">
      <c r="A135" s="3">
        <v>705801</v>
      </c>
      <c r="B135" s="3" t="s">
        <v>365</v>
      </c>
      <c r="C135" s="1">
        <v>732210</v>
      </c>
      <c r="D135" s="1" t="s">
        <v>102</v>
      </c>
      <c r="T135" s="41">
        <v>1834.2</v>
      </c>
      <c r="U135" s="16">
        <f t="shared" si="17"/>
        <v>1834.2</v>
      </c>
      <c r="V135" s="45" t="e">
        <f t="shared" si="18"/>
        <v>#DIV/0!</v>
      </c>
    </row>
    <row r="136" spans="1:22" x14ac:dyDescent="0.2">
      <c r="A136" s="3">
        <v>705003</v>
      </c>
      <c r="B136" s="3" t="s">
        <v>359</v>
      </c>
      <c r="C136" s="1">
        <v>732215</v>
      </c>
      <c r="D136" s="1" t="s">
        <v>103</v>
      </c>
      <c r="E136" s="22">
        <v>219</v>
      </c>
      <c r="F136" s="22">
        <v>272.02</v>
      </c>
      <c r="G136" s="22">
        <v>0</v>
      </c>
      <c r="H136" s="22"/>
      <c r="I136" s="22">
        <v>100</v>
      </c>
      <c r="J136" s="22">
        <v>2280</v>
      </c>
      <c r="K136" s="22"/>
      <c r="L136" s="22">
        <v>463</v>
      </c>
      <c r="M136" s="22">
        <v>30</v>
      </c>
      <c r="N136" s="43">
        <v>195</v>
      </c>
      <c r="O136" s="22">
        <v>490</v>
      </c>
      <c r="P136" s="22">
        <v>216</v>
      </c>
      <c r="Q136" s="49">
        <v>81</v>
      </c>
      <c r="R136" s="49"/>
      <c r="S136" s="49"/>
      <c r="T136" s="49"/>
      <c r="U136" s="16">
        <f t="shared" si="17"/>
        <v>0</v>
      </c>
      <c r="V136" s="45" t="e">
        <f t="shared" si="18"/>
        <v>#DIV/0!</v>
      </c>
    </row>
    <row r="137" spans="1:22" x14ac:dyDescent="0.2">
      <c r="A137" s="3">
        <v>705103</v>
      </c>
      <c r="B137" s="3" t="s">
        <v>440</v>
      </c>
      <c r="C137" s="57">
        <v>732220</v>
      </c>
      <c r="D137" s="57" t="s">
        <v>284</v>
      </c>
      <c r="E137" s="22">
        <v>1167.4099999999999</v>
      </c>
      <c r="F137" s="22">
        <v>918.3</v>
      </c>
      <c r="G137" s="22">
        <v>-795</v>
      </c>
      <c r="H137" s="22"/>
      <c r="I137" s="22"/>
      <c r="J137" s="22"/>
      <c r="K137" s="22"/>
      <c r="L137" s="22"/>
      <c r="M137" s="22"/>
      <c r="N137" s="22"/>
      <c r="O137" s="22"/>
      <c r="P137" s="22">
        <v>675</v>
      </c>
      <c r="Q137" s="22"/>
      <c r="R137" s="22"/>
      <c r="S137" s="22"/>
      <c r="T137" s="22"/>
      <c r="U137" s="16">
        <f t="shared" si="17"/>
        <v>0</v>
      </c>
      <c r="V137" s="45" t="e">
        <f t="shared" si="18"/>
        <v>#DIV/0!</v>
      </c>
    </row>
    <row r="138" spans="1:22" x14ac:dyDescent="0.2">
      <c r="A138" s="3">
        <v>705300</v>
      </c>
      <c r="B138" s="3" t="s">
        <v>98</v>
      </c>
      <c r="C138" s="1">
        <v>732225</v>
      </c>
      <c r="D138" s="1" t="s">
        <v>104</v>
      </c>
      <c r="U138" s="16">
        <f t="shared" si="17"/>
        <v>0</v>
      </c>
      <c r="V138" s="45" t="e">
        <f t="shared" si="18"/>
        <v>#DIV/0!</v>
      </c>
    </row>
    <row r="139" spans="1:22" x14ac:dyDescent="0.2">
      <c r="A139" s="72">
        <v>705600</v>
      </c>
      <c r="B139" s="107" t="s">
        <v>496</v>
      </c>
      <c r="C139" s="1"/>
      <c r="D139" s="1"/>
      <c r="T139" s="41">
        <v>5968.5</v>
      </c>
      <c r="U139" s="16">
        <f t="shared" si="17"/>
        <v>5968.5</v>
      </c>
      <c r="V139" s="45" t="e">
        <f t="shared" si="18"/>
        <v>#DIV/0!</v>
      </c>
    </row>
    <row r="140" spans="1:22" x14ac:dyDescent="0.2">
      <c r="A140" s="3">
        <v>705800</v>
      </c>
      <c r="B140" s="3" t="s">
        <v>364</v>
      </c>
      <c r="C140" s="1">
        <v>732300</v>
      </c>
      <c r="D140" s="1" t="s">
        <v>105</v>
      </c>
      <c r="E140" s="22">
        <v>55285.3</v>
      </c>
      <c r="F140" s="22">
        <v>60496.85</v>
      </c>
      <c r="G140" s="22">
        <v>55844.88</v>
      </c>
      <c r="H140" s="22">
        <v>20720.5</v>
      </c>
      <c r="I140" s="22">
        <v>17917.080000000002</v>
      </c>
      <c r="J140" s="22">
        <v>25293.17</v>
      </c>
      <c r="K140" s="22">
        <v>59934.880000000005</v>
      </c>
      <c r="L140" s="22">
        <v>56487.86</v>
      </c>
      <c r="M140" s="22">
        <v>50682.049999999996</v>
      </c>
      <c r="N140" s="43">
        <v>42426.33</v>
      </c>
      <c r="O140" s="42">
        <v>45844.83</v>
      </c>
      <c r="P140" s="42">
        <v>12932.32</v>
      </c>
      <c r="Q140" s="49">
        <v>56870.83</v>
      </c>
      <c r="R140" s="39">
        <v>82569.490000000005</v>
      </c>
      <c r="S140" s="41">
        <v>30582.010000000002</v>
      </c>
      <c r="T140" s="41">
        <v>1942.48</v>
      </c>
      <c r="U140" s="16">
        <f t="shared" si="17"/>
        <v>-28639.530000000002</v>
      </c>
      <c r="V140" s="45">
        <f t="shared" si="18"/>
        <v>-0.93648291920642235</v>
      </c>
    </row>
    <row r="141" spans="1:22" x14ac:dyDescent="0.2">
      <c r="A141" s="3">
        <v>706007</v>
      </c>
      <c r="B141" s="3" t="s">
        <v>371</v>
      </c>
      <c r="C141" s="1">
        <v>741100</v>
      </c>
      <c r="D141" s="1" t="s">
        <v>106</v>
      </c>
      <c r="E141" s="22"/>
      <c r="F141" s="22"/>
      <c r="G141" s="22"/>
      <c r="H141" s="22"/>
      <c r="I141" s="22"/>
      <c r="J141" s="22">
        <v>-15.31</v>
      </c>
      <c r="K141" s="22"/>
      <c r="L141" s="22">
        <v>4290.34</v>
      </c>
      <c r="M141" s="22">
        <v>5181.37</v>
      </c>
      <c r="N141" s="43">
        <v>100.98</v>
      </c>
      <c r="O141" s="22"/>
      <c r="P141" s="22"/>
      <c r="Q141" s="22"/>
      <c r="R141" s="22"/>
      <c r="S141" s="22"/>
      <c r="T141" s="22"/>
      <c r="U141" s="16">
        <f t="shared" si="17"/>
        <v>0</v>
      </c>
      <c r="V141" s="45" t="e">
        <f t="shared" si="18"/>
        <v>#DIV/0!</v>
      </c>
    </row>
    <row r="142" spans="1:22" x14ac:dyDescent="0.2">
      <c r="A142" s="3">
        <v>706602</v>
      </c>
      <c r="B142" s="3" t="s">
        <v>388</v>
      </c>
      <c r="C142" s="57">
        <v>741105</v>
      </c>
      <c r="D142" s="57" t="s">
        <v>268</v>
      </c>
      <c r="E142" s="22">
        <v>58447.42</v>
      </c>
      <c r="F142" s="22">
        <v>5367.1000000000022</v>
      </c>
      <c r="G142" s="22"/>
      <c r="H142" s="22"/>
      <c r="I142" s="22"/>
      <c r="J142" s="22"/>
      <c r="K142" s="22"/>
      <c r="L142" s="22"/>
      <c r="M142" s="22"/>
      <c r="N142" s="22"/>
      <c r="O142" s="22"/>
      <c r="P142" s="22"/>
      <c r="Q142" s="22"/>
      <c r="R142" s="39">
        <v>2691.8</v>
      </c>
      <c r="S142" s="39"/>
      <c r="T142" s="39"/>
      <c r="U142" s="16">
        <f t="shared" si="17"/>
        <v>0</v>
      </c>
      <c r="V142" s="45" t="e">
        <f t="shared" si="18"/>
        <v>#DIV/0!</v>
      </c>
    </row>
    <row r="143" spans="1:22" x14ac:dyDescent="0.2">
      <c r="A143" s="3">
        <v>706000</v>
      </c>
      <c r="B143" s="3" t="s">
        <v>366</v>
      </c>
      <c r="C143" s="1">
        <v>741110</v>
      </c>
      <c r="D143" s="1" t="s">
        <v>107</v>
      </c>
      <c r="E143" s="22">
        <v>2738.5299999999997</v>
      </c>
      <c r="F143" s="22">
        <v>4355.8</v>
      </c>
      <c r="G143" s="22">
        <v>5514.05</v>
      </c>
      <c r="H143" s="22">
        <v>75153.200000000012</v>
      </c>
      <c r="I143" s="22">
        <v>5372.8099999999995</v>
      </c>
      <c r="J143" s="22">
        <v>4783.45</v>
      </c>
      <c r="K143" s="22">
        <v>3737.74</v>
      </c>
      <c r="L143" s="22"/>
      <c r="M143" s="22"/>
      <c r="N143" s="22"/>
      <c r="O143" s="22"/>
      <c r="P143" s="22"/>
      <c r="Q143" s="22"/>
      <c r="R143" s="22"/>
      <c r="S143" s="41">
        <v>-21.240000000000002</v>
      </c>
      <c r="T143" s="41"/>
      <c r="U143" s="16">
        <f t="shared" si="17"/>
        <v>21.240000000000002</v>
      </c>
      <c r="V143" s="45">
        <f t="shared" si="18"/>
        <v>-1</v>
      </c>
    </row>
    <row r="144" spans="1:22" x14ac:dyDescent="0.2">
      <c r="A144" s="3">
        <v>706100</v>
      </c>
      <c r="B144" s="3" t="s">
        <v>372</v>
      </c>
      <c r="C144" s="1">
        <v>742120</v>
      </c>
      <c r="D144" s="1" t="s">
        <v>108</v>
      </c>
      <c r="E144" s="22">
        <v>34861.960000000006</v>
      </c>
      <c r="F144" s="22">
        <v>25357.829999999998</v>
      </c>
      <c r="G144" s="22">
        <v>37930.640000000007</v>
      </c>
      <c r="H144" s="22">
        <v>44634.360000000008</v>
      </c>
      <c r="I144" s="22">
        <v>34340.33</v>
      </c>
      <c r="J144" s="22">
        <v>41426.25</v>
      </c>
      <c r="K144" s="22">
        <v>47323.18</v>
      </c>
      <c r="L144" s="22">
        <v>38162.330000000009</v>
      </c>
      <c r="M144" s="22">
        <v>43719.069999999992</v>
      </c>
      <c r="N144" s="43">
        <v>34978.199999999997</v>
      </c>
      <c r="O144" s="42">
        <v>24022.65</v>
      </c>
      <c r="P144" s="42">
        <v>21621.390000000003</v>
      </c>
      <c r="Q144" s="49">
        <v>24726.329999999998</v>
      </c>
      <c r="R144" s="39">
        <v>1469.1599999999999</v>
      </c>
      <c r="S144" s="41">
        <v>960.85</v>
      </c>
      <c r="T144" s="41">
        <v>557.59</v>
      </c>
      <c r="U144" s="16">
        <f t="shared" si="17"/>
        <v>-403.26</v>
      </c>
      <c r="V144" s="45">
        <f t="shared" si="18"/>
        <v>-0.41969089868345733</v>
      </c>
    </row>
    <row r="145" spans="1:22" x14ac:dyDescent="0.2">
      <c r="A145" s="3">
        <v>706101</v>
      </c>
      <c r="B145" s="3" t="s">
        <v>373</v>
      </c>
      <c r="C145" s="57">
        <v>742125</v>
      </c>
      <c r="D145" s="57" t="s">
        <v>285</v>
      </c>
      <c r="E145" s="22"/>
      <c r="F145" s="22"/>
      <c r="G145" s="22"/>
      <c r="H145" s="22"/>
      <c r="I145" s="22"/>
      <c r="J145" s="22">
        <v>-493.76</v>
      </c>
      <c r="K145" s="22">
        <v>178.01</v>
      </c>
      <c r="L145" s="22">
        <v>-260.25</v>
      </c>
      <c r="M145" s="22">
        <v>-50.96</v>
      </c>
      <c r="N145" s="43"/>
      <c r="O145" s="22"/>
      <c r="P145" s="22"/>
      <c r="Q145" s="22"/>
      <c r="R145" s="22"/>
      <c r="S145" s="22"/>
      <c r="T145" s="22"/>
      <c r="U145" s="16">
        <f t="shared" si="17"/>
        <v>0</v>
      </c>
      <c r="V145" s="45" t="e">
        <f t="shared" si="18"/>
        <v>#DIV/0!</v>
      </c>
    </row>
    <row r="146" spans="1:22" x14ac:dyDescent="0.2">
      <c r="A146" s="3">
        <v>706200</v>
      </c>
      <c r="B146" s="3" t="s">
        <v>374</v>
      </c>
      <c r="C146" s="1">
        <v>743100</v>
      </c>
      <c r="D146" s="1" t="s">
        <v>109</v>
      </c>
      <c r="E146" s="22">
        <v>162028.32</v>
      </c>
      <c r="F146" s="22">
        <v>218987.39</v>
      </c>
      <c r="G146" s="22">
        <v>74677.78</v>
      </c>
      <c r="H146" s="22">
        <v>97906.17</v>
      </c>
      <c r="I146" s="22">
        <v>51788.100000000006</v>
      </c>
      <c r="J146" s="22">
        <v>71145.55</v>
      </c>
      <c r="K146" s="22">
        <v>71851.520000000004</v>
      </c>
      <c r="L146" s="22">
        <v>27585.5</v>
      </c>
      <c r="M146" s="22">
        <v>62630.559999999998</v>
      </c>
      <c r="N146" s="43">
        <v>12800.96</v>
      </c>
      <c r="O146" s="42">
        <v>104002.08</v>
      </c>
      <c r="P146" s="42">
        <v>29471.480000000003</v>
      </c>
      <c r="Q146" s="49">
        <v>15871.3</v>
      </c>
      <c r="R146" s="39">
        <v>3624.23</v>
      </c>
      <c r="S146" s="41">
        <v>9300.43</v>
      </c>
      <c r="T146" s="41"/>
      <c r="U146" s="16">
        <f t="shared" si="17"/>
        <v>-9300.43</v>
      </c>
      <c r="V146" s="45">
        <f t="shared" si="18"/>
        <v>-1</v>
      </c>
    </row>
    <row r="147" spans="1:22" x14ac:dyDescent="0.2">
      <c r="A147" s="3">
        <v>706200</v>
      </c>
      <c r="B147" s="3" t="s">
        <v>374</v>
      </c>
      <c r="C147" s="1">
        <v>743200</v>
      </c>
      <c r="D147" s="1" t="s">
        <v>110</v>
      </c>
      <c r="E147" s="22"/>
      <c r="F147" s="22"/>
      <c r="G147" s="22"/>
      <c r="H147" s="22">
        <v>13098</v>
      </c>
      <c r="I147" s="22">
        <v>2397.1999999999998</v>
      </c>
      <c r="J147" s="22">
        <v>2233.41</v>
      </c>
      <c r="K147" s="22">
        <v>666.22</v>
      </c>
      <c r="L147" s="22">
        <v>16352.98</v>
      </c>
      <c r="M147" s="22">
        <v>19841.760000000002</v>
      </c>
      <c r="N147" s="43">
        <v>9377.25</v>
      </c>
      <c r="O147" s="42">
        <v>25846.100000000002</v>
      </c>
      <c r="P147" s="42">
        <v>8252.66</v>
      </c>
      <c r="Q147" s="49">
        <v>5823.38</v>
      </c>
      <c r="R147" s="49"/>
      <c r="S147" s="49"/>
      <c r="T147" s="49"/>
      <c r="U147" s="16">
        <f t="shared" si="17"/>
        <v>0</v>
      </c>
      <c r="V147" s="45" t="e">
        <f t="shared" si="18"/>
        <v>#DIV/0!</v>
      </c>
    </row>
    <row r="148" spans="1:22" x14ac:dyDescent="0.2">
      <c r="A148" s="3">
        <v>706202</v>
      </c>
      <c r="B148" s="3" t="s">
        <v>375</v>
      </c>
      <c r="C148" s="1">
        <v>743300</v>
      </c>
      <c r="D148" s="1" t="s">
        <v>111</v>
      </c>
      <c r="E148" s="22">
        <v>69002.139999999985</v>
      </c>
      <c r="F148" s="22">
        <v>65565.899999999994</v>
      </c>
      <c r="G148" s="22">
        <v>76528.709999999992</v>
      </c>
      <c r="H148" s="22">
        <v>75810.540000000008</v>
      </c>
      <c r="I148" s="22">
        <v>75569.89</v>
      </c>
      <c r="J148" s="22">
        <v>69623.67</v>
      </c>
      <c r="K148" s="22">
        <v>15039.18</v>
      </c>
      <c r="L148" s="22">
        <v>4980</v>
      </c>
      <c r="M148" s="22">
        <v>2920.8</v>
      </c>
      <c r="N148" s="43">
        <v>2209.1000000000004</v>
      </c>
      <c r="O148" s="42">
        <v>1631.65</v>
      </c>
      <c r="P148" s="42">
        <v>2174</v>
      </c>
      <c r="Q148" s="49">
        <v>5476</v>
      </c>
      <c r="R148" s="49"/>
      <c r="S148" s="41">
        <v>346</v>
      </c>
      <c r="T148" s="41"/>
      <c r="U148" s="16">
        <f t="shared" si="17"/>
        <v>-346</v>
      </c>
      <c r="V148" s="45">
        <f t="shared" si="18"/>
        <v>-1</v>
      </c>
    </row>
    <row r="149" spans="1:22" x14ac:dyDescent="0.2">
      <c r="A149" s="3">
        <v>706203</v>
      </c>
      <c r="B149" s="3" t="s">
        <v>376</v>
      </c>
      <c r="C149" s="1">
        <v>743400</v>
      </c>
      <c r="D149" s="1" t="s">
        <v>112</v>
      </c>
      <c r="E149" s="22">
        <v>930</v>
      </c>
      <c r="F149" s="22">
        <v>333.17</v>
      </c>
      <c r="G149" s="22">
        <v>1674</v>
      </c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  <c r="S149" s="22"/>
      <c r="T149" s="22"/>
      <c r="U149" s="16">
        <f t="shared" si="17"/>
        <v>0</v>
      </c>
      <c r="V149" s="45" t="e">
        <f t="shared" si="18"/>
        <v>#DIV/0!</v>
      </c>
    </row>
    <row r="150" spans="1:22" x14ac:dyDescent="0.2">
      <c r="A150" s="3">
        <v>706204</v>
      </c>
      <c r="B150" s="3" t="s">
        <v>377</v>
      </c>
      <c r="C150" s="1">
        <v>743500</v>
      </c>
      <c r="D150" s="1" t="s">
        <v>113</v>
      </c>
      <c r="E150" s="22">
        <v>4006.37</v>
      </c>
      <c r="F150" s="22">
        <v>11816.019999999999</v>
      </c>
      <c r="G150" s="22">
        <v>8056.46</v>
      </c>
      <c r="H150" s="22">
        <v>11634.33</v>
      </c>
      <c r="I150" s="22">
        <v>8140.4400000000005</v>
      </c>
      <c r="J150" s="22">
        <v>11396.68</v>
      </c>
      <c r="K150" s="22">
        <v>10593.51</v>
      </c>
      <c r="L150" s="22">
        <v>5395.16</v>
      </c>
      <c r="M150" s="22">
        <v>15332.25</v>
      </c>
      <c r="N150" s="43">
        <v>28155.67</v>
      </c>
      <c r="O150" s="42">
        <v>13093.95</v>
      </c>
      <c r="P150" s="42">
        <v>10361.469999999999</v>
      </c>
      <c r="Q150" s="49">
        <v>11366.76</v>
      </c>
      <c r="R150" s="39">
        <v>992.30000000000007</v>
      </c>
      <c r="S150" s="41">
        <v>56.94</v>
      </c>
      <c r="T150" s="41">
        <v>2376.5300000000002</v>
      </c>
      <c r="U150" s="16">
        <f t="shared" si="17"/>
        <v>2319.59</v>
      </c>
      <c r="V150" s="45">
        <f t="shared" si="18"/>
        <v>40.737442922374434</v>
      </c>
    </row>
    <row r="151" spans="1:22" x14ac:dyDescent="0.2">
      <c r="A151" s="3">
        <v>706300</v>
      </c>
      <c r="B151" s="3" t="s">
        <v>378</v>
      </c>
      <c r="C151" s="1">
        <v>744100</v>
      </c>
      <c r="D151" s="1" t="s">
        <v>114</v>
      </c>
      <c r="E151" s="22"/>
      <c r="F151" s="22"/>
      <c r="G151" s="22">
        <v>17.64</v>
      </c>
      <c r="H151" s="22">
        <v>44.34</v>
      </c>
      <c r="I151" s="22">
        <v>8.99</v>
      </c>
      <c r="J151" s="22">
        <v>631.97</v>
      </c>
      <c r="K151" s="22">
        <v>52.78</v>
      </c>
      <c r="L151" s="22"/>
      <c r="M151" s="22"/>
      <c r="N151" s="43">
        <v>378.59000000000003</v>
      </c>
      <c r="O151" s="42">
        <v>495.38</v>
      </c>
      <c r="P151" s="42">
        <v>82.42</v>
      </c>
      <c r="Q151" s="42"/>
      <c r="R151" s="42"/>
      <c r="S151" s="42"/>
      <c r="T151" s="42"/>
      <c r="U151" s="16">
        <f t="shared" si="17"/>
        <v>0</v>
      </c>
      <c r="V151" s="45" t="e">
        <f t="shared" si="18"/>
        <v>#DIV/0!</v>
      </c>
    </row>
    <row r="152" spans="1:22" x14ac:dyDescent="0.2">
      <c r="A152" s="3">
        <v>706300</v>
      </c>
      <c r="B152" s="3" t="s">
        <v>378</v>
      </c>
      <c r="C152" s="57">
        <v>744105</v>
      </c>
      <c r="D152" s="57" t="s">
        <v>286</v>
      </c>
      <c r="E152" s="22"/>
      <c r="F152" s="22"/>
      <c r="G152" s="22">
        <v>4910</v>
      </c>
      <c r="H152" s="22"/>
      <c r="I152" s="22"/>
      <c r="J152" s="22"/>
      <c r="K152" s="22"/>
      <c r="L152" s="22"/>
      <c r="M152" s="22"/>
      <c r="N152" s="22"/>
      <c r="O152" s="42">
        <v>750</v>
      </c>
      <c r="P152" s="42"/>
      <c r="Q152" s="42"/>
      <c r="R152" s="42"/>
      <c r="S152" s="42"/>
      <c r="T152" s="42"/>
      <c r="U152" s="16">
        <f t="shared" si="17"/>
        <v>0</v>
      </c>
      <c r="V152" s="45" t="e">
        <f t="shared" si="18"/>
        <v>#DIV/0!</v>
      </c>
    </row>
    <row r="153" spans="1:22" x14ac:dyDescent="0.2">
      <c r="A153" s="3">
        <v>706300</v>
      </c>
      <c r="B153" s="3" t="s">
        <v>378</v>
      </c>
      <c r="C153" s="1">
        <v>744110</v>
      </c>
      <c r="D153" s="1" t="s">
        <v>115</v>
      </c>
      <c r="E153" s="22">
        <v>16744.63</v>
      </c>
      <c r="F153" s="22">
        <v>41930.460000000006</v>
      </c>
      <c r="G153" s="22">
        <v>178692.49000000002</v>
      </c>
      <c r="H153" s="22">
        <v>-47498.25</v>
      </c>
      <c r="I153" s="22">
        <v>70266.27</v>
      </c>
      <c r="J153" s="22">
        <v>17203.29</v>
      </c>
      <c r="K153" s="22">
        <v>18886.350000000002</v>
      </c>
      <c r="L153" s="22">
        <v>37380.439999999995</v>
      </c>
      <c r="M153" s="22">
        <v>10351.99</v>
      </c>
      <c r="N153" s="43">
        <v>12947.96</v>
      </c>
      <c r="O153" s="42">
        <v>54551.63</v>
      </c>
      <c r="P153" s="42">
        <v>46787.77</v>
      </c>
      <c r="Q153" s="49">
        <v>35385.24</v>
      </c>
      <c r="R153" s="39">
        <v>43506.539999999994</v>
      </c>
      <c r="S153" s="41">
        <v>34166.520000000004</v>
      </c>
      <c r="T153" s="41">
        <v>47601.17</v>
      </c>
      <c r="U153" s="16">
        <f t="shared" si="17"/>
        <v>13434.649999999994</v>
      </c>
      <c r="V153" s="45">
        <f t="shared" si="18"/>
        <v>0.39321095622264113</v>
      </c>
    </row>
    <row r="154" spans="1:22" x14ac:dyDescent="0.2">
      <c r="A154" s="3">
        <v>706301</v>
      </c>
      <c r="B154" s="3" t="s">
        <v>379</v>
      </c>
      <c r="C154" s="1">
        <v>744115</v>
      </c>
      <c r="D154" s="1" t="s">
        <v>116</v>
      </c>
      <c r="E154" s="22"/>
      <c r="F154" s="22"/>
      <c r="G154" s="22"/>
      <c r="H154" s="22"/>
      <c r="I154" s="22"/>
      <c r="J154" s="22"/>
      <c r="K154" s="22">
        <v>3946.59</v>
      </c>
      <c r="L154" s="22"/>
      <c r="M154" s="22"/>
      <c r="N154" s="22"/>
      <c r="O154" s="22"/>
      <c r="P154" s="22"/>
      <c r="Q154" s="22"/>
      <c r="R154" s="22"/>
      <c r="S154" s="22"/>
      <c r="T154" s="22"/>
      <c r="U154" s="16">
        <f t="shared" si="17"/>
        <v>0</v>
      </c>
      <c r="V154" s="45" t="e">
        <f t="shared" si="18"/>
        <v>#DIV/0!</v>
      </c>
    </row>
    <row r="155" spans="1:22" x14ac:dyDescent="0.2">
      <c r="A155" s="3">
        <v>706505</v>
      </c>
      <c r="B155" s="3" t="s">
        <v>442</v>
      </c>
      <c r="C155" s="57">
        <v>744120</v>
      </c>
      <c r="D155" s="57" t="s">
        <v>287</v>
      </c>
      <c r="E155" s="22"/>
      <c r="F155" s="22">
        <v>46500</v>
      </c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  <c r="S155" s="22"/>
      <c r="T155" s="22"/>
      <c r="U155" s="16">
        <f t="shared" ref="U155:U218" si="19">T155-S155</f>
        <v>0</v>
      </c>
      <c r="V155" s="45" t="e">
        <f t="shared" ref="V155:V218" si="20">U155/S155</f>
        <v>#DIV/0!</v>
      </c>
    </row>
    <row r="156" spans="1:22" x14ac:dyDescent="0.2">
      <c r="A156" s="3">
        <v>706302</v>
      </c>
      <c r="B156" s="3" t="s">
        <v>380</v>
      </c>
      <c r="C156" s="1">
        <v>744125</v>
      </c>
      <c r="D156" s="1" t="s">
        <v>117</v>
      </c>
      <c r="E156" s="22">
        <v>66</v>
      </c>
      <c r="F156" s="22"/>
      <c r="G156" s="22"/>
      <c r="H156" s="22"/>
      <c r="I156" s="22">
        <v>887.08</v>
      </c>
      <c r="J156" s="22"/>
      <c r="K156" s="22">
        <v>900.62</v>
      </c>
      <c r="L156" s="22">
        <v>691</v>
      </c>
      <c r="M156" s="22">
        <v>919</v>
      </c>
      <c r="N156" s="43">
        <v>344</v>
      </c>
      <c r="O156" s="42">
        <v>425</v>
      </c>
      <c r="P156" s="42">
        <v>160</v>
      </c>
      <c r="Q156" s="49">
        <v>160</v>
      </c>
      <c r="R156" s="39">
        <v>299.98</v>
      </c>
      <c r="S156" s="41">
        <v>1500</v>
      </c>
      <c r="T156" s="41">
        <v>2880</v>
      </c>
      <c r="U156" s="16">
        <f t="shared" si="19"/>
        <v>1380</v>
      </c>
      <c r="V156" s="45">
        <f t="shared" si="20"/>
        <v>0.92</v>
      </c>
    </row>
    <row r="157" spans="1:22" x14ac:dyDescent="0.2">
      <c r="A157" s="3">
        <v>706400</v>
      </c>
      <c r="B157" s="3" t="s">
        <v>381</v>
      </c>
      <c r="C157" s="1">
        <v>744130</v>
      </c>
      <c r="D157" s="1" t="s">
        <v>118</v>
      </c>
      <c r="U157" s="16">
        <f t="shared" si="19"/>
        <v>0</v>
      </c>
      <c r="V157" s="45" t="e">
        <f t="shared" si="20"/>
        <v>#DIV/0!</v>
      </c>
    </row>
    <row r="158" spans="1:22" x14ac:dyDescent="0.2">
      <c r="A158" s="3">
        <v>706400</v>
      </c>
      <c r="B158" s="3" t="s">
        <v>381</v>
      </c>
      <c r="C158" s="1">
        <v>744135</v>
      </c>
      <c r="D158" s="1" t="s">
        <v>119</v>
      </c>
      <c r="E158" s="22">
        <v>1912.5</v>
      </c>
      <c r="F158" s="22"/>
      <c r="G158" s="22">
        <v>1125.6000000000001</v>
      </c>
      <c r="H158" s="22">
        <v>1440.29</v>
      </c>
      <c r="I158" s="22">
        <v>584.54</v>
      </c>
      <c r="J158" s="22">
        <v>692.52</v>
      </c>
      <c r="K158" s="22">
        <v>251.04</v>
      </c>
      <c r="L158" s="22">
        <v>619.91</v>
      </c>
      <c r="M158" s="22">
        <v>1443.74</v>
      </c>
      <c r="N158" s="43">
        <v>444.51</v>
      </c>
      <c r="O158" s="42">
        <v>554.41999999999996</v>
      </c>
      <c r="P158" s="42">
        <v>41.800000000000004</v>
      </c>
      <c r="Q158" s="49">
        <v>20.990000000000002</v>
      </c>
      <c r="R158" s="49"/>
      <c r="S158" s="41">
        <v>95.63</v>
      </c>
      <c r="T158" s="41">
        <v>-95.63</v>
      </c>
      <c r="U158" s="16">
        <f t="shared" si="19"/>
        <v>-191.26</v>
      </c>
      <c r="V158" s="45">
        <f t="shared" si="20"/>
        <v>-2</v>
      </c>
    </row>
    <row r="159" spans="1:22" x14ac:dyDescent="0.2">
      <c r="A159" s="3">
        <v>706504</v>
      </c>
      <c r="B159" s="3" t="s">
        <v>385</v>
      </c>
      <c r="C159" s="1">
        <v>744140</v>
      </c>
      <c r="D159" s="1" t="s">
        <v>120</v>
      </c>
      <c r="E159" s="22">
        <v>90</v>
      </c>
      <c r="F159" s="22">
        <v>2864.4</v>
      </c>
      <c r="G159" s="22">
        <v>9581.2000000000007</v>
      </c>
      <c r="H159" s="22"/>
      <c r="I159" s="22">
        <v>11382.75</v>
      </c>
      <c r="J159" s="22">
        <v>9689.52</v>
      </c>
      <c r="K159" s="22">
        <v>2815.09</v>
      </c>
      <c r="L159" s="22">
        <v>1105</v>
      </c>
      <c r="M159" s="22"/>
      <c r="N159" s="43">
        <v>9186.0600000000013</v>
      </c>
      <c r="O159" s="42">
        <v>24802.55</v>
      </c>
      <c r="P159" s="42">
        <v>29858.58</v>
      </c>
      <c r="Q159" s="42"/>
      <c r="R159" s="39">
        <v>9529.7000000000007</v>
      </c>
      <c r="S159" s="41">
        <v>3972.69</v>
      </c>
      <c r="T159" s="41">
        <v>11108.59</v>
      </c>
      <c r="U159" s="16">
        <f t="shared" si="19"/>
        <v>7135.9</v>
      </c>
      <c r="V159" s="45">
        <f t="shared" si="20"/>
        <v>1.7962388205472866</v>
      </c>
    </row>
    <row r="160" spans="1:22" x14ac:dyDescent="0.2">
      <c r="A160" s="3">
        <v>706700</v>
      </c>
      <c r="B160" s="3" t="s">
        <v>390</v>
      </c>
      <c r="C160" s="1">
        <v>745100</v>
      </c>
      <c r="D160" s="1" t="s">
        <v>121</v>
      </c>
      <c r="E160" s="22"/>
      <c r="F160" s="22"/>
      <c r="G160" s="22">
        <v>498.89</v>
      </c>
      <c r="H160" s="22">
        <v>24733.279999999999</v>
      </c>
      <c r="I160" s="22">
        <v>28753.14</v>
      </c>
      <c r="J160" s="22">
        <v>31373.39</v>
      </c>
      <c r="K160" s="22">
        <v>38267.360000000001</v>
      </c>
      <c r="L160" s="22">
        <v>46356.700000000004</v>
      </c>
      <c r="M160" s="22">
        <v>42388</v>
      </c>
      <c r="N160" s="43">
        <v>45776.47</v>
      </c>
      <c r="O160" s="42">
        <v>49315.740000000005</v>
      </c>
      <c r="P160" s="42">
        <v>51761.440000000002</v>
      </c>
      <c r="Q160" s="49">
        <v>75699.28</v>
      </c>
      <c r="R160" s="39">
        <v>91975.45</v>
      </c>
      <c r="S160" s="39"/>
      <c r="T160" s="39"/>
      <c r="U160" s="16">
        <f t="shared" si="19"/>
        <v>0</v>
      </c>
      <c r="V160" s="45" t="e">
        <f t="shared" si="20"/>
        <v>#DIV/0!</v>
      </c>
    </row>
    <row r="161" spans="1:22" x14ac:dyDescent="0.2">
      <c r="A161" s="3">
        <v>706700</v>
      </c>
      <c r="B161" s="3" t="s">
        <v>390</v>
      </c>
      <c r="C161" s="57">
        <v>745101</v>
      </c>
      <c r="D161" s="57" t="s">
        <v>191</v>
      </c>
      <c r="E161" s="22"/>
      <c r="F161" s="22"/>
      <c r="G161" s="22"/>
      <c r="H161" s="22"/>
      <c r="I161" s="22">
        <v>11370</v>
      </c>
      <c r="J161" s="22">
        <v>9490</v>
      </c>
      <c r="K161" s="22">
        <v>7958.33</v>
      </c>
      <c r="L161" s="22">
        <v>8470.77</v>
      </c>
      <c r="M161" s="22">
        <v>10019.800000000001</v>
      </c>
      <c r="N161" s="43">
        <v>9240.84</v>
      </c>
      <c r="O161" s="42">
        <v>9240.84</v>
      </c>
      <c r="P161" s="42">
        <v>9129.25</v>
      </c>
      <c r="Q161" s="49">
        <v>14282.58</v>
      </c>
      <c r="R161" s="49"/>
      <c r="S161" s="49"/>
      <c r="T161" s="49"/>
      <c r="U161" s="16">
        <f t="shared" si="19"/>
        <v>0</v>
      </c>
      <c r="V161" s="45" t="e">
        <f t="shared" si="20"/>
        <v>#DIV/0!</v>
      </c>
    </row>
    <row r="162" spans="1:22" x14ac:dyDescent="0.2">
      <c r="A162" s="3">
        <v>706605</v>
      </c>
      <c r="B162" s="3" t="s">
        <v>389</v>
      </c>
      <c r="C162" s="1">
        <v>745105</v>
      </c>
      <c r="D162" s="1" t="s">
        <v>122</v>
      </c>
      <c r="E162" s="22">
        <v>224812.42000000007</v>
      </c>
      <c r="F162" s="22">
        <v>231228.03</v>
      </c>
      <c r="G162" s="22">
        <v>370880.58999999985</v>
      </c>
      <c r="H162" s="22">
        <v>227361.58000000002</v>
      </c>
      <c r="I162" s="22">
        <v>222650.18</v>
      </c>
      <c r="J162" s="22">
        <v>267318.63</v>
      </c>
      <c r="K162" s="22">
        <v>180401.19000000003</v>
      </c>
      <c r="L162" s="22">
        <v>225729.83999999997</v>
      </c>
      <c r="M162" s="22">
        <v>236438.24000000005</v>
      </c>
      <c r="N162" s="43">
        <v>391435.11999999994</v>
      </c>
      <c r="O162" s="42">
        <v>522801.2</v>
      </c>
      <c r="P162" s="42">
        <v>486861.49000000005</v>
      </c>
      <c r="Q162" s="49">
        <v>205104.07</v>
      </c>
      <c r="R162" s="39">
        <v>81914.73</v>
      </c>
      <c r="S162" s="41">
        <v>80057.38</v>
      </c>
      <c r="T162" s="41">
        <v>205480.29</v>
      </c>
      <c r="U162" s="16">
        <f t="shared" si="19"/>
        <v>125422.91</v>
      </c>
      <c r="V162" s="45">
        <f t="shared" si="20"/>
        <v>1.5666626861883313</v>
      </c>
    </row>
    <row r="163" spans="1:22" x14ac:dyDescent="0.2">
      <c r="A163" s="3">
        <v>706605</v>
      </c>
      <c r="B163" s="3" t="s">
        <v>389</v>
      </c>
      <c r="C163" s="1">
        <v>745110</v>
      </c>
      <c r="D163" s="1" t="s">
        <v>123</v>
      </c>
      <c r="E163" s="22">
        <v>20912.22</v>
      </c>
      <c r="F163" s="22">
        <v>5005.83</v>
      </c>
      <c r="G163" s="22">
        <v>-198.5</v>
      </c>
      <c r="H163" s="22"/>
      <c r="I163" s="22">
        <v>4776.75</v>
      </c>
      <c r="J163" s="22"/>
      <c r="K163" s="22"/>
      <c r="L163" s="22"/>
      <c r="M163" s="22"/>
      <c r="N163" s="22"/>
      <c r="O163" s="22"/>
      <c r="P163" s="22"/>
      <c r="Q163" s="22"/>
      <c r="R163" s="22"/>
      <c r="S163" s="22"/>
      <c r="T163" s="22"/>
      <c r="U163" s="16">
        <f t="shared" si="19"/>
        <v>0</v>
      </c>
      <c r="V163" s="45" t="e">
        <f t="shared" si="20"/>
        <v>#DIV/0!</v>
      </c>
    </row>
    <row r="164" spans="1:22" x14ac:dyDescent="0.2">
      <c r="A164" s="3">
        <v>706601</v>
      </c>
      <c r="B164" s="3" t="s">
        <v>387</v>
      </c>
      <c r="C164" s="1">
        <v>745115</v>
      </c>
      <c r="D164" s="1" t="s">
        <v>124</v>
      </c>
      <c r="E164" s="22">
        <v>6296.85</v>
      </c>
      <c r="F164" s="22">
        <v>5773.5</v>
      </c>
      <c r="G164" s="22">
        <v>5093</v>
      </c>
      <c r="H164" s="22">
        <v>4681</v>
      </c>
      <c r="I164" s="22">
        <v>5019.25</v>
      </c>
      <c r="J164" s="22">
        <v>7353.75</v>
      </c>
      <c r="K164" s="22">
        <v>4942.5</v>
      </c>
      <c r="L164" s="22">
        <v>5476.25</v>
      </c>
      <c r="M164" s="22">
        <v>6433.5</v>
      </c>
      <c r="N164" s="43">
        <v>6661.5</v>
      </c>
      <c r="O164" s="42">
        <v>6021</v>
      </c>
      <c r="P164" s="42">
        <v>6413</v>
      </c>
      <c r="Q164" s="49">
        <v>5260.6100000000006</v>
      </c>
      <c r="R164" s="49"/>
      <c r="S164" s="49"/>
      <c r="T164" s="41">
        <v>14071</v>
      </c>
      <c r="U164" s="16">
        <f t="shared" si="19"/>
        <v>14071</v>
      </c>
      <c r="V164" s="45" t="e">
        <f t="shared" si="20"/>
        <v>#DIV/0!</v>
      </c>
    </row>
    <row r="165" spans="1:22" x14ac:dyDescent="0.2">
      <c r="A165" s="3">
        <v>706600</v>
      </c>
      <c r="B165" s="3" t="s">
        <v>386</v>
      </c>
      <c r="C165" s="57">
        <v>745120</v>
      </c>
      <c r="D165" s="57" t="s">
        <v>192</v>
      </c>
      <c r="E165" s="22">
        <v>47500.88</v>
      </c>
      <c r="F165" s="22">
        <v>42207.69</v>
      </c>
      <c r="G165" s="22">
        <v>39544.270000000004</v>
      </c>
      <c r="H165" s="22">
        <v>22196.78</v>
      </c>
      <c r="I165" s="22">
        <v>96555.76</v>
      </c>
      <c r="J165" s="22">
        <v>668.96</v>
      </c>
      <c r="K165" s="22"/>
      <c r="L165" s="22">
        <v>30323.119999999999</v>
      </c>
      <c r="M165" s="22">
        <v>43959.8</v>
      </c>
      <c r="N165" s="43">
        <v>7547.5</v>
      </c>
      <c r="O165" s="42">
        <v>11281.09</v>
      </c>
      <c r="P165" s="42">
        <v>34729.370000000003</v>
      </c>
      <c r="Q165" s="49">
        <v>29249.65</v>
      </c>
      <c r="R165" s="39">
        <v>528.66999999999996</v>
      </c>
      <c r="S165" s="41">
        <v>3015</v>
      </c>
      <c r="T165" s="41">
        <v>15025.2</v>
      </c>
      <c r="U165" s="16">
        <f t="shared" si="19"/>
        <v>12010.2</v>
      </c>
      <c r="V165" s="45">
        <f t="shared" si="20"/>
        <v>3.9834825870646768</v>
      </c>
    </row>
    <row r="166" spans="1:22" x14ac:dyDescent="0.2">
      <c r="A166" s="3">
        <v>701204</v>
      </c>
      <c r="B166" s="3" t="s">
        <v>288</v>
      </c>
      <c r="C166" s="57">
        <v>745125</v>
      </c>
      <c r="D166" s="57" t="s">
        <v>288</v>
      </c>
      <c r="E166" s="22"/>
      <c r="F166" s="22"/>
      <c r="G166" s="22"/>
      <c r="H166" s="22"/>
      <c r="I166" s="22"/>
      <c r="J166" s="22"/>
      <c r="K166" s="22"/>
      <c r="L166" s="22">
        <v>5000</v>
      </c>
      <c r="M166" s="22"/>
      <c r="N166" s="22"/>
      <c r="O166" s="22"/>
      <c r="P166" s="22"/>
      <c r="Q166" s="22"/>
      <c r="R166" s="22"/>
      <c r="S166" s="22"/>
      <c r="T166" s="22"/>
      <c r="U166" s="16">
        <f t="shared" si="19"/>
        <v>0</v>
      </c>
      <c r="V166" s="45" t="e">
        <f t="shared" si="20"/>
        <v>#DIV/0!</v>
      </c>
    </row>
    <row r="167" spans="1:22" x14ac:dyDescent="0.2">
      <c r="A167" s="3">
        <v>701304</v>
      </c>
      <c r="B167" s="3" t="s">
        <v>193</v>
      </c>
      <c r="C167" s="57">
        <v>745130</v>
      </c>
      <c r="D167" s="57" t="s">
        <v>193</v>
      </c>
      <c r="E167" s="22"/>
      <c r="F167" s="22"/>
      <c r="G167" s="22"/>
      <c r="H167" s="22"/>
      <c r="I167" s="22">
        <v>8640</v>
      </c>
      <c r="J167" s="22">
        <v>22415</v>
      </c>
      <c r="K167" s="22">
        <v>2535</v>
      </c>
      <c r="L167" s="22"/>
      <c r="M167" s="22"/>
      <c r="N167" s="22"/>
      <c r="O167" s="22"/>
      <c r="P167" s="22"/>
      <c r="Q167" s="22"/>
      <c r="R167" s="22"/>
      <c r="S167" s="22"/>
      <c r="T167" s="22"/>
      <c r="U167" s="16">
        <f t="shared" si="19"/>
        <v>0</v>
      </c>
      <c r="V167" s="45" t="e">
        <f t="shared" si="20"/>
        <v>#DIV/0!</v>
      </c>
    </row>
    <row r="168" spans="1:22" x14ac:dyDescent="0.2">
      <c r="A168" s="3">
        <v>707001</v>
      </c>
      <c r="B168" s="3" t="s">
        <v>392</v>
      </c>
      <c r="C168" s="1">
        <v>751100</v>
      </c>
      <c r="D168" s="1" t="s">
        <v>125</v>
      </c>
      <c r="E168" s="22">
        <v>53187.59</v>
      </c>
      <c r="F168" s="22">
        <v>53617.299999999996</v>
      </c>
      <c r="G168" s="22">
        <v>65786.89</v>
      </c>
      <c r="H168" s="22">
        <v>31934.13</v>
      </c>
      <c r="I168" s="22">
        <v>4570.04</v>
      </c>
      <c r="J168" s="22">
        <v>16540.169999999998</v>
      </c>
      <c r="K168" s="22">
        <v>17906.02</v>
      </c>
      <c r="L168" s="22">
        <v>16570.2</v>
      </c>
      <c r="M168" s="22">
        <v>11892.51</v>
      </c>
      <c r="N168" s="43">
        <v>17889.46</v>
      </c>
      <c r="O168" s="42">
        <v>153729.96000000002</v>
      </c>
      <c r="P168" s="42">
        <v>42450.05</v>
      </c>
      <c r="Q168" s="49">
        <v>60083.34</v>
      </c>
      <c r="R168" s="39">
        <v>170166.7</v>
      </c>
      <c r="S168" s="41">
        <v>57343.19</v>
      </c>
      <c r="T168" s="41">
        <v>1761635.0899999996</v>
      </c>
      <c r="U168" s="16">
        <f t="shared" si="19"/>
        <v>1704291.8999999997</v>
      </c>
      <c r="V168" s="45">
        <f t="shared" si="20"/>
        <v>29.720911933919261</v>
      </c>
    </row>
    <row r="169" spans="1:22" x14ac:dyDescent="0.2">
      <c r="A169" s="3">
        <v>707002</v>
      </c>
      <c r="B169" s="3" t="s">
        <v>393</v>
      </c>
      <c r="C169" s="57">
        <v>751105</v>
      </c>
      <c r="D169" s="57" t="s">
        <v>194</v>
      </c>
      <c r="E169" s="22"/>
      <c r="F169" s="22"/>
      <c r="G169" s="22"/>
      <c r="H169" s="22"/>
      <c r="I169" s="22"/>
      <c r="J169" s="22"/>
      <c r="K169" s="22">
        <v>1163</v>
      </c>
      <c r="L169" s="22"/>
      <c r="M169" s="22">
        <v>138</v>
      </c>
      <c r="N169" s="43">
        <v>6994</v>
      </c>
      <c r="O169" s="42"/>
      <c r="P169" s="42">
        <v>345.83</v>
      </c>
      <c r="Q169" s="49">
        <v>4365.5599999999995</v>
      </c>
      <c r="R169" s="49"/>
      <c r="S169" s="49"/>
      <c r="T169" s="49"/>
      <c r="U169" s="16">
        <f t="shared" si="19"/>
        <v>0</v>
      </c>
      <c r="V169" s="45" t="e">
        <f t="shared" si="20"/>
        <v>#DIV/0!</v>
      </c>
    </row>
    <row r="170" spans="1:22" x14ac:dyDescent="0.2">
      <c r="A170" s="3">
        <v>707000</v>
      </c>
      <c r="B170" s="3" t="s">
        <v>391</v>
      </c>
      <c r="C170" s="1">
        <v>751110</v>
      </c>
      <c r="D170" s="1" t="s">
        <v>126</v>
      </c>
      <c r="E170" s="22">
        <v>95093.95</v>
      </c>
      <c r="F170" s="22">
        <v>35919.93</v>
      </c>
      <c r="G170" s="22">
        <v>59592.06</v>
      </c>
      <c r="H170" s="22">
        <v>79248.67</v>
      </c>
      <c r="I170" s="22">
        <v>100845.47</v>
      </c>
      <c r="J170" s="22">
        <v>161810.97000000003</v>
      </c>
      <c r="K170" s="22">
        <v>88248.260000000009</v>
      </c>
      <c r="L170" s="22">
        <v>212696.36</v>
      </c>
      <c r="M170" s="22">
        <v>97540.249999999985</v>
      </c>
      <c r="N170" s="43">
        <v>86487.969999999987</v>
      </c>
      <c r="O170" s="42">
        <v>52048.500000000007</v>
      </c>
      <c r="P170" s="42">
        <v>80296.569999999992</v>
      </c>
      <c r="Q170" s="49">
        <v>62764.07</v>
      </c>
      <c r="R170" s="39">
        <v>72665.75</v>
      </c>
      <c r="S170" s="41">
        <v>235404.46</v>
      </c>
      <c r="T170" s="41">
        <v>130245.58</v>
      </c>
      <c r="U170" s="16">
        <f t="shared" si="19"/>
        <v>-105158.87999999999</v>
      </c>
      <c r="V170" s="45">
        <f t="shared" si="20"/>
        <v>-0.44671575041526396</v>
      </c>
    </row>
    <row r="171" spans="1:22" x14ac:dyDescent="0.2">
      <c r="A171" s="3">
        <v>707101</v>
      </c>
      <c r="B171" s="3" t="s">
        <v>395</v>
      </c>
      <c r="C171" s="1">
        <v>752100</v>
      </c>
      <c r="D171" s="1" t="s">
        <v>127</v>
      </c>
      <c r="E171" s="22">
        <v>95312.99</v>
      </c>
      <c r="F171" s="22">
        <v>87113.18</v>
      </c>
      <c r="G171" s="22">
        <v>235811.93000000002</v>
      </c>
      <c r="H171" s="22">
        <v>222743.87000000002</v>
      </c>
      <c r="I171" s="22">
        <v>168060.85</v>
      </c>
      <c r="J171" s="22">
        <v>122710.63</v>
      </c>
      <c r="K171" s="22">
        <v>68832.19</v>
      </c>
      <c r="L171" s="22">
        <v>178285.65</v>
      </c>
      <c r="M171" s="22">
        <v>333668.58999999997</v>
      </c>
      <c r="N171" s="43">
        <v>268627.15000000002</v>
      </c>
      <c r="O171" s="42">
        <v>433564.60000000003</v>
      </c>
      <c r="P171" s="42">
        <v>335062.31</v>
      </c>
      <c r="Q171" s="49">
        <v>438734.32</v>
      </c>
      <c r="R171" s="39">
        <v>514538.7</v>
      </c>
      <c r="S171" s="41">
        <v>511974.48000000004</v>
      </c>
      <c r="T171" s="41">
        <v>821521.92999999993</v>
      </c>
      <c r="U171" s="16">
        <f t="shared" si="19"/>
        <v>309547.4499999999</v>
      </c>
      <c r="V171" s="45">
        <f t="shared" si="20"/>
        <v>0.60461499956013409</v>
      </c>
    </row>
    <row r="172" spans="1:22" x14ac:dyDescent="0.2">
      <c r="A172" s="3">
        <v>707100</v>
      </c>
      <c r="B172" s="3" t="s">
        <v>394</v>
      </c>
      <c r="C172" s="1">
        <v>752105</v>
      </c>
      <c r="D172" s="1" t="s">
        <v>128</v>
      </c>
      <c r="E172" s="22">
        <v>94746.74</v>
      </c>
      <c r="F172" s="22">
        <v>104913.92</v>
      </c>
      <c r="G172" s="22">
        <v>149554.85999999999</v>
      </c>
      <c r="H172" s="22">
        <v>120328.45000000001</v>
      </c>
      <c r="I172" s="22">
        <v>150771.25</v>
      </c>
      <c r="J172" s="22">
        <v>161422.47999999998</v>
      </c>
      <c r="K172" s="22">
        <v>238337.3</v>
      </c>
      <c r="L172" s="22">
        <v>233928.56000000006</v>
      </c>
      <c r="M172" s="22">
        <v>187500.66</v>
      </c>
      <c r="N172" s="43">
        <v>197268.43</v>
      </c>
      <c r="O172" s="42">
        <v>159123.12999999998</v>
      </c>
      <c r="P172" s="42">
        <v>198994.43</v>
      </c>
      <c r="Q172" s="49">
        <v>305214.77</v>
      </c>
      <c r="R172" s="39">
        <v>347521.63</v>
      </c>
      <c r="S172" s="41">
        <v>369900.66000000003</v>
      </c>
      <c r="T172" s="41">
        <v>340638.01000000007</v>
      </c>
      <c r="U172" s="16">
        <f t="shared" si="19"/>
        <v>-29262.649999999965</v>
      </c>
      <c r="V172" s="45">
        <f t="shared" si="20"/>
        <v>-7.9109483070400471E-2</v>
      </c>
    </row>
    <row r="173" spans="1:22" x14ac:dyDescent="0.2">
      <c r="A173" s="3">
        <v>707100</v>
      </c>
      <c r="B173" s="3" t="s">
        <v>394</v>
      </c>
      <c r="C173" s="1">
        <v>752110</v>
      </c>
      <c r="D173" s="1" t="s">
        <v>129</v>
      </c>
      <c r="E173" s="22">
        <v>38743.18</v>
      </c>
      <c r="F173" s="22">
        <v>42629.96</v>
      </c>
      <c r="G173" s="22">
        <v>44047.829999999994</v>
      </c>
      <c r="H173" s="22">
        <v>73800.009999999995</v>
      </c>
      <c r="I173" s="22">
        <v>19826.07</v>
      </c>
      <c r="J173" s="22">
        <v>28612.190000000002</v>
      </c>
      <c r="K173" s="22">
        <v>91911.48000000001</v>
      </c>
      <c r="L173" s="22">
        <v>55084.86</v>
      </c>
      <c r="M173" s="22">
        <v>56334.91</v>
      </c>
      <c r="N173" s="43">
        <v>17572.510000000002</v>
      </c>
      <c r="O173" s="42">
        <v>17166.769999999997</v>
      </c>
      <c r="P173" s="42">
        <v>7754.5</v>
      </c>
      <c r="Q173" s="49">
        <v>13251.17</v>
      </c>
      <c r="R173" s="49"/>
      <c r="S173" s="49"/>
      <c r="T173" s="49"/>
      <c r="U173" s="16">
        <f t="shared" si="19"/>
        <v>0</v>
      </c>
      <c r="V173" s="45" t="e">
        <f t="shared" si="20"/>
        <v>#DIV/0!</v>
      </c>
    </row>
    <row r="174" spans="1:22" x14ac:dyDescent="0.2">
      <c r="A174" s="3">
        <v>707101</v>
      </c>
      <c r="B174" s="3" t="s">
        <v>395</v>
      </c>
      <c r="C174" s="1">
        <v>752115</v>
      </c>
      <c r="D174" s="1" t="s">
        <v>130</v>
      </c>
      <c r="E174" s="22">
        <v>23110.02</v>
      </c>
      <c r="F174" s="22">
        <v>79954.03</v>
      </c>
      <c r="G174" s="22">
        <v>118490.11000000002</v>
      </c>
      <c r="H174" s="22">
        <v>39732.86</v>
      </c>
      <c r="I174" s="22">
        <v>32228.04</v>
      </c>
      <c r="J174" s="22">
        <v>51658.600000000006</v>
      </c>
      <c r="K174" s="22">
        <v>68963.56</v>
      </c>
      <c r="L174" s="22">
        <v>67429.36</v>
      </c>
      <c r="M174" s="22">
        <v>58741.7</v>
      </c>
      <c r="N174" s="43">
        <v>92765.87000000001</v>
      </c>
      <c r="O174" s="42">
        <v>18963.82</v>
      </c>
      <c r="P174" s="42">
        <v>19807.080000000002</v>
      </c>
      <c r="Q174" s="49">
        <v>22440.450000000004</v>
      </c>
      <c r="R174" s="49"/>
      <c r="S174" s="49"/>
      <c r="T174" s="49"/>
      <c r="U174" s="16">
        <f t="shared" si="19"/>
        <v>0</v>
      </c>
      <c r="V174" s="45" t="e">
        <f t="shared" si="20"/>
        <v>#DIV/0!</v>
      </c>
    </row>
    <row r="175" spans="1:22" x14ac:dyDescent="0.2">
      <c r="A175" s="3">
        <v>707153</v>
      </c>
      <c r="B175" s="3" t="s">
        <v>399</v>
      </c>
      <c r="C175" s="1">
        <v>753100</v>
      </c>
      <c r="D175" s="1" t="s">
        <v>131</v>
      </c>
      <c r="E175" s="22">
        <v>92410.32</v>
      </c>
      <c r="F175" s="22">
        <v>59875.500000000007</v>
      </c>
      <c r="G175" s="22">
        <v>67312.73000000001</v>
      </c>
      <c r="H175" s="22">
        <v>80537.56</v>
      </c>
      <c r="I175" s="22">
        <v>77284.600000000006</v>
      </c>
      <c r="J175" s="22">
        <v>84485.62</v>
      </c>
      <c r="K175" s="22">
        <v>88205.17</v>
      </c>
      <c r="L175" s="22">
        <v>80234.11</v>
      </c>
      <c r="M175" s="22">
        <v>139685.14000000001</v>
      </c>
      <c r="N175" s="43">
        <v>103574.64</v>
      </c>
      <c r="O175" s="42">
        <v>119599.87</v>
      </c>
      <c r="P175" s="42">
        <v>102509.53</v>
      </c>
      <c r="Q175" s="49">
        <v>137097.5</v>
      </c>
      <c r="R175" s="39">
        <v>102773.84</v>
      </c>
      <c r="S175" s="41">
        <v>190740.13999999998</v>
      </c>
      <c r="T175" s="41">
        <v>579217.61</v>
      </c>
      <c r="U175" s="16">
        <f t="shared" si="19"/>
        <v>388477.47</v>
      </c>
      <c r="V175" s="45">
        <f t="shared" si="20"/>
        <v>2.0366844126254704</v>
      </c>
    </row>
    <row r="176" spans="1:22" x14ac:dyDescent="0.2">
      <c r="A176" s="3">
        <v>707001</v>
      </c>
      <c r="B176" s="3" t="s">
        <v>392</v>
      </c>
      <c r="C176" s="1">
        <v>761100</v>
      </c>
      <c r="D176" s="1" t="s">
        <v>132</v>
      </c>
      <c r="E176" s="22">
        <v>-3951</v>
      </c>
      <c r="F176" s="22">
        <v>-4829</v>
      </c>
      <c r="G176" s="22">
        <v>-3951</v>
      </c>
      <c r="H176" s="22">
        <v>-3073</v>
      </c>
      <c r="I176" s="22">
        <v>-439</v>
      </c>
      <c r="J176" s="22">
        <v>-2195</v>
      </c>
      <c r="K176" s="22">
        <v>212.18000000000006</v>
      </c>
      <c r="L176" s="22">
        <v>-2634</v>
      </c>
      <c r="M176" s="22">
        <v>-2195</v>
      </c>
      <c r="N176" s="43">
        <v>-2634</v>
      </c>
      <c r="O176" s="22"/>
      <c r="P176" s="22"/>
      <c r="Q176" s="49">
        <v>5499.02</v>
      </c>
      <c r="R176" s="49"/>
      <c r="S176" s="49"/>
      <c r="T176" s="49"/>
      <c r="U176" s="16">
        <f t="shared" si="19"/>
        <v>0</v>
      </c>
      <c r="V176" s="45" t="e">
        <f t="shared" si="20"/>
        <v>#DIV/0!</v>
      </c>
    </row>
    <row r="177" spans="1:22" x14ac:dyDescent="0.2">
      <c r="A177" s="3">
        <v>707001</v>
      </c>
      <c r="B177" s="3" t="s">
        <v>392</v>
      </c>
      <c r="C177" s="1">
        <v>761104</v>
      </c>
      <c r="D177" s="1" t="s">
        <v>133</v>
      </c>
      <c r="E177" s="22">
        <v>23.990000000000002</v>
      </c>
      <c r="F177" s="22">
        <v>-221</v>
      </c>
      <c r="G177" s="22">
        <v>889.81000000000006</v>
      </c>
      <c r="H177" s="22">
        <v>125.97</v>
      </c>
      <c r="I177" s="22"/>
      <c r="J177" s="22">
        <v>24.94</v>
      </c>
      <c r="K177" s="22">
        <v>3727.0099999999998</v>
      </c>
      <c r="L177" s="22">
        <v>4673.0499999999993</v>
      </c>
      <c r="M177" s="22">
        <v>3268.2199999999993</v>
      </c>
      <c r="N177" s="43">
        <v>1480.38</v>
      </c>
      <c r="O177" s="42">
        <v>2906.9099999999994</v>
      </c>
      <c r="P177" s="42">
        <v>2784.8</v>
      </c>
      <c r="Q177" s="49">
        <v>14156.949999999999</v>
      </c>
      <c r="R177" s="49"/>
      <c r="S177" s="49"/>
      <c r="T177" s="49"/>
      <c r="U177" s="16">
        <f t="shared" si="19"/>
        <v>0</v>
      </c>
      <c r="V177" s="45" t="e">
        <f t="shared" si="20"/>
        <v>#DIV/0!</v>
      </c>
    </row>
    <row r="178" spans="1:22" x14ac:dyDescent="0.2">
      <c r="A178" s="3">
        <v>707151</v>
      </c>
      <c r="B178" s="3" t="s">
        <v>397</v>
      </c>
      <c r="C178" s="57">
        <v>761105</v>
      </c>
      <c r="D178" s="57" t="s">
        <v>195</v>
      </c>
      <c r="E178" s="22">
        <v>354369.93</v>
      </c>
      <c r="F178" s="22">
        <v>375591.36</v>
      </c>
      <c r="G178" s="22">
        <v>370762.64</v>
      </c>
      <c r="H178" s="22">
        <v>429776.44</v>
      </c>
      <c r="I178" s="22">
        <v>423927.64</v>
      </c>
      <c r="J178" s="22">
        <v>491902.8</v>
      </c>
      <c r="K178" s="22">
        <v>490751.4</v>
      </c>
      <c r="L178" s="22">
        <v>479778.04000000004</v>
      </c>
      <c r="M178" s="22">
        <v>208516.64</v>
      </c>
      <c r="N178" s="43">
        <v>225119</v>
      </c>
      <c r="O178" s="42">
        <v>54658.32</v>
      </c>
      <c r="P178" s="42">
        <v>78766.959999999992</v>
      </c>
      <c r="Q178" s="49">
        <v>76254.89</v>
      </c>
      <c r="R178" s="39">
        <v>21341.370000000003</v>
      </c>
      <c r="S178" s="41">
        <v>22745.010000000002</v>
      </c>
      <c r="T178" s="41">
        <v>33931.569999999992</v>
      </c>
      <c r="U178" s="16">
        <f t="shared" si="19"/>
        <v>11186.55999999999</v>
      </c>
      <c r="V178" s="45">
        <f t="shared" si="20"/>
        <v>0.49182480025289016</v>
      </c>
    </row>
    <row r="179" spans="1:22" x14ac:dyDescent="0.2">
      <c r="A179" s="3">
        <v>707000</v>
      </c>
      <c r="B179" s="3" t="s">
        <v>391</v>
      </c>
      <c r="C179" s="57">
        <v>763100</v>
      </c>
      <c r="D179" s="57" t="s">
        <v>289</v>
      </c>
      <c r="E179" s="22"/>
      <c r="F179" s="22"/>
      <c r="G179" s="22"/>
      <c r="H179" s="22"/>
      <c r="I179" s="22">
        <v>62</v>
      </c>
      <c r="J179" s="22">
        <v>7596</v>
      </c>
      <c r="K179" s="22">
        <v>7896</v>
      </c>
      <c r="L179" s="22">
        <v>7896</v>
      </c>
      <c r="M179" s="22">
        <v>7238</v>
      </c>
      <c r="N179" s="22"/>
      <c r="O179" s="22"/>
      <c r="P179" s="22"/>
      <c r="Q179" s="22"/>
      <c r="R179" s="22"/>
      <c r="S179" s="22"/>
      <c r="T179" s="22"/>
      <c r="U179" s="16">
        <f t="shared" si="19"/>
        <v>0</v>
      </c>
      <c r="V179" s="45" t="e">
        <f t="shared" si="20"/>
        <v>#DIV/0!</v>
      </c>
    </row>
    <row r="180" spans="1:22" x14ac:dyDescent="0.2">
      <c r="A180" s="3">
        <v>707150</v>
      </c>
      <c r="B180" s="3" t="s">
        <v>396</v>
      </c>
      <c r="C180" s="1">
        <v>763105</v>
      </c>
      <c r="D180" s="1" t="s">
        <v>134</v>
      </c>
      <c r="E180" s="22">
        <v>90478.510000000009</v>
      </c>
      <c r="F180" s="22">
        <v>28287.81</v>
      </c>
      <c r="G180" s="22">
        <v>38745.929999999993</v>
      </c>
      <c r="H180" s="22">
        <v>20051.440000000006</v>
      </c>
      <c r="I180" s="22">
        <v>28879.68</v>
      </c>
      <c r="J180" s="22">
        <v>32042.03</v>
      </c>
      <c r="K180" s="22">
        <v>3861.3</v>
      </c>
      <c r="L180" s="22">
        <v>4960.04</v>
      </c>
      <c r="M180" s="22">
        <v>10629.23</v>
      </c>
      <c r="N180" s="43">
        <v>48836.7</v>
      </c>
      <c r="O180" s="42">
        <v>32314.05</v>
      </c>
      <c r="P180" s="42">
        <v>18503.03</v>
      </c>
      <c r="Q180" s="49">
        <v>27260.14</v>
      </c>
      <c r="R180" s="39">
        <v>17784.16</v>
      </c>
      <c r="S180" s="41">
        <v>23036.06</v>
      </c>
      <c r="T180" s="41">
        <v>58381.810000000005</v>
      </c>
      <c r="U180" s="16">
        <f t="shared" si="19"/>
        <v>35345.75</v>
      </c>
      <c r="V180" s="45">
        <f t="shared" si="20"/>
        <v>1.5343661199007121</v>
      </c>
    </row>
    <row r="181" spans="1:22" x14ac:dyDescent="0.2">
      <c r="A181" s="3">
        <v>707153</v>
      </c>
      <c r="B181" s="3" t="s">
        <v>399</v>
      </c>
      <c r="C181" s="1">
        <v>764100</v>
      </c>
      <c r="D181" s="1" t="s">
        <v>135</v>
      </c>
      <c r="E181" s="22">
        <v>36677.250000000015</v>
      </c>
      <c r="F181" s="22">
        <v>33075.93</v>
      </c>
      <c r="G181" s="22">
        <v>33763.56</v>
      </c>
      <c r="H181" s="22">
        <v>19428.559999999998</v>
      </c>
      <c r="I181" s="22">
        <v>27274.890000000003</v>
      </c>
      <c r="J181" s="22">
        <v>23952.21</v>
      </c>
      <c r="K181" s="22">
        <v>23558.430000000011</v>
      </c>
      <c r="L181" s="22">
        <v>22993.180000000004</v>
      </c>
      <c r="M181" s="22">
        <v>21145.219999999998</v>
      </c>
      <c r="N181" s="43">
        <v>18162.93</v>
      </c>
      <c r="O181" s="42">
        <v>23070.93</v>
      </c>
      <c r="P181" s="42">
        <v>22035.309999999998</v>
      </c>
      <c r="Q181" s="49">
        <v>12293.36</v>
      </c>
      <c r="R181" s="49"/>
      <c r="S181" s="49"/>
      <c r="T181" s="49"/>
      <c r="U181" s="16">
        <f t="shared" si="19"/>
        <v>0</v>
      </c>
      <c r="V181" s="45" t="e">
        <f t="shared" si="20"/>
        <v>#DIV/0!</v>
      </c>
    </row>
    <row r="182" spans="1:22" x14ac:dyDescent="0.2">
      <c r="A182" s="3">
        <v>707152</v>
      </c>
      <c r="B182" s="3" t="s">
        <v>398</v>
      </c>
      <c r="C182" s="1">
        <v>764104</v>
      </c>
      <c r="D182" s="1" t="s">
        <v>136</v>
      </c>
      <c r="E182" s="22">
        <v>28410.890000000003</v>
      </c>
      <c r="F182" s="22">
        <v>30145.34</v>
      </c>
      <c r="G182" s="22">
        <v>36017.47</v>
      </c>
      <c r="H182" s="22">
        <v>36579.67</v>
      </c>
      <c r="I182" s="22">
        <v>30317.860000000004</v>
      </c>
      <c r="J182" s="22">
        <v>25515.520000000004</v>
      </c>
      <c r="K182" s="22">
        <v>36761.29</v>
      </c>
      <c r="L182" s="22">
        <v>38948.78</v>
      </c>
      <c r="M182" s="22">
        <v>34651.509999999995</v>
      </c>
      <c r="N182" s="43">
        <v>34961.780000000006</v>
      </c>
      <c r="O182" s="42">
        <v>36052.449999999997</v>
      </c>
      <c r="P182" s="42">
        <v>35606.489999999991</v>
      </c>
      <c r="Q182" s="49">
        <v>25450.600000000002</v>
      </c>
      <c r="R182" s="39">
        <v>13940.95</v>
      </c>
      <c r="S182" s="41">
        <v>26081.13</v>
      </c>
      <c r="T182" s="41">
        <v>59090.520000000004</v>
      </c>
      <c r="U182" s="16">
        <f t="shared" si="19"/>
        <v>33009.39</v>
      </c>
      <c r="V182" s="45">
        <f t="shared" si="20"/>
        <v>1.2656426312816966</v>
      </c>
    </row>
    <row r="183" spans="1:22" x14ac:dyDescent="0.2">
      <c r="A183" s="3">
        <v>707151</v>
      </c>
      <c r="B183" s="3" t="s">
        <v>397</v>
      </c>
      <c r="C183" s="1">
        <v>764110</v>
      </c>
      <c r="D183" s="1" t="s">
        <v>137</v>
      </c>
      <c r="E183" s="22">
        <v>43021.840000000004</v>
      </c>
      <c r="F183" s="22">
        <v>41372.54</v>
      </c>
      <c r="G183" s="22">
        <v>45635.710000000006</v>
      </c>
      <c r="H183" s="22">
        <v>38263.039999999994</v>
      </c>
      <c r="I183" s="22">
        <v>35586.249999999985</v>
      </c>
      <c r="J183" s="22">
        <v>36584.379999999983</v>
      </c>
      <c r="K183" s="22">
        <v>41313.670000000006</v>
      </c>
      <c r="L183" s="22">
        <v>39444.250000000007</v>
      </c>
      <c r="M183" s="22">
        <v>41155.019999999997</v>
      </c>
      <c r="N183" s="43">
        <v>43028.26</v>
      </c>
      <c r="O183" s="42">
        <v>42865.5</v>
      </c>
      <c r="P183" s="42">
        <v>-111636.90999999992</v>
      </c>
      <c r="Q183" s="49">
        <v>-188699.36000000002</v>
      </c>
      <c r="R183" s="49"/>
      <c r="S183" s="49"/>
      <c r="T183" s="49"/>
      <c r="U183" s="16">
        <f t="shared" si="19"/>
        <v>0</v>
      </c>
      <c r="V183" s="45" t="e">
        <f t="shared" si="20"/>
        <v>#DIV/0!</v>
      </c>
    </row>
    <row r="184" spans="1:22" x14ac:dyDescent="0.2">
      <c r="A184" s="3">
        <v>707151</v>
      </c>
      <c r="B184" s="3" t="s">
        <v>397</v>
      </c>
      <c r="C184" s="1">
        <v>764120</v>
      </c>
      <c r="D184" s="1" t="s">
        <v>138</v>
      </c>
      <c r="E184" s="22">
        <v>1752.4</v>
      </c>
      <c r="F184" s="22">
        <v>1346.6099999999997</v>
      </c>
      <c r="G184" s="22">
        <v>1947.7900000000009</v>
      </c>
      <c r="H184" s="22">
        <v>2601.2999999999997</v>
      </c>
      <c r="I184" s="22">
        <v>3127.2500000000005</v>
      </c>
      <c r="J184" s="22">
        <v>2505.0199999999995</v>
      </c>
      <c r="K184" s="22">
        <v>2546.4500000000003</v>
      </c>
      <c r="L184" s="22">
        <v>2493.8399999999997</v>
      </c>
      <c r="M184" s="22">
        <v>2328.9300000000003</v>
      </c>
      <c r="N184" s="43">
        <v>2702.5199999999995</v>
      </c>
      <c r="O184" s="42">
        <v>2065.46</v>
      </c>
      <c r="P184" s="42">
        <v>-3831.3700000000013</v>
      </c>
      <c r="Q184" s="49">
        <v>-4864.53</v>
      </c>
      <c r="R184" s="49"/>
      <c r="S184" s="49"/>
      <c r="T184" s="49"/>
      <c r="U184" s="16">
        <f t="shared" si="19"/>
        <v>0</v>
      </c>
      <c r="V184" s="45" t="e">
        <f t="shared" si="20"/>
        <v>#DIV/0!</v>
      </c>
    </row>
    <row r="185" spans="1:22" x14ac:dyDescent="0.2">
      <c r="C185" s="1">
        <v>764130</v>
      </c>
      <c r="D185" s="1" t="s">
        <v>139</v>
      </c>
      <c r="E185" s="22">
        <v>5.2000000000000011</v>
      </c>
      <c r="F185" s="22">
        <v>-31.5</v>
      </c>
      <c r="G185" s="22"/>
      <c r="H185" s="22"/>
      <c r="I185" s="22"/>
      <c r="J185" s="22"/>
      <c r="K185" s="22"/>
      <c r="L185" s="22"/>
      <c r="M185" s="22"/>
      <c r="N185" s="22"/>
      <c r="O185" s="22"/>
      <c r="P185" s="22"/>
      <c r="Q185" s="22"/>
      <c r="R185" s="22"/>
      <c r="S185" s="22"/>
      <c r="T185" s="22"/>
      <c r="U185" s="16">
        <f t="shared" si="19"/>
        <v>0</v>
      </c>
      <c r="V185" s="45" t="e">
        <f t="shared" si="20"/>
        <v>#DIV/0!</v>
      </c>
    </row>
    <row r="186" spans="1:22" x14ac:dyDescent="0.2">
      <c r="A186" s="3">
        <v>707151</v>
      </c>
      <c r="B186" s="3" t="s">
        <v>397</v>
      </c>
      <c r="C186" s="1">
        <v>764140</v>
      </c>
      <c r="D186" s="1" t="s">
        <v>140</v>
      </c>
      <c r="E186" s="22"/>
      <c r="F186" s="22">
        <v>0.57999999999999996</v>
      </c>
      <c r="G186" s="22"/>
      <c r="H186" s="22"/>
      <c r="I186" s="22"/>
      <c r="J186" s="22"/>
      <c r="K186" s="22"/>
      <c r="L186" s="22"/>
      <c r="M186" s="22"/>
      <c r="N186" s="43">
        <v>17.78</v>
      </c>
      <c r="O186" s="22"/>
      <c r="P186" s="22">
        <v>15.24</v>
      </c>
      <c r="Q186" s="49">
        <v>7.05</v>
      </c>
      <c r="R186" s="49"/>
      <c r="S186" s="49"/>
      <c r="T186" s="49"/>
      <c r="U186" s="16">
        <f t="shared" si="19"/>
        <v>0</v>
      </c>
      <c r="V186" s="45" t="e">
        <f t="shared" si="20"/>
        <v>#DIV/0!</v>
      </c>
    </row>
    <row r="187" spans="1:22" x14ac:dyDescent="0.2">
      <c r="A187" s="3">
        <v>707300</v>
      </c>
      <c r="B187" s="3" t="s">
        <v>401</v>
      </c>
      <c r="C187" s="1">
        <v>771100</v>
      </c>
      <c r="D187" s="1" t="s">
        <v>141</v>
      </c>
      <c r="E187" s="22">
        <v>64328.100000000013</v>
      </c>
      <c r="F187" s="22">
        <v>66234.38</v>
      </c>
      <c r="G187" s="22">
        <v>54346.530000000013</v>
      </c>
      <c r="H187" s="22">
        <v>17989.45</v>
      </c>
      <c r="I187" s="22">
        <v>28158.220000000005</v>
      </c>
      <c r="J187" s="22">
        <v>32694.030000000002</v>
      </c>
      <c r="K187" s="22">
        <v>32099.25</v>
      </c>
      <c r="L187" s="22">
        <v>32658.030000000002</v>
      </c>
      <c r="M187" s="22">
        <v>27768.520000000004</v>
      </c>
      <c r="N187" s="43">
        <v>701.75</v>
      </c>
      <c r="O187" s="42">
        <v>6655.3599999999988</v>
      </c>
      <c r="P187" s="42">
        <v>1310.6599999999999</v>
      </c>
      <c r="Q187" s="49">
        <v>2156.71</v>
      </c>
      <c r="R187" s="49"/>
      <c r="S187" s="49"/>
      <c r="T187" s="49"/>
      <c r="U187" s="16">
        <f t="shared" si="19"/>
        <v>0</v>
      </c>
      <c r="V187" s="45" t="e">
        <f t="shared" si="20"/>
        <v>#DIV/0!</v>
      </c>
    </row>
    <row r="188" spans="1:22" x14ac:dyDescent="0.2">
      <c r="A188" s="3">
        <v>707300</v>
      </c>
      <c r="B188" s="3" t="s">
        <v>401</v>
      </c>
      <c r="C188" s="1">
        <v>771105</v>
      </c>
      <c r="D188" s="1" t="s">
        <v>142</v>
      </c>
      <c r="E188" s="22">
        <v>18196.45</v>
      </c>
      <c r="F188" s="22">
        <v>2312</v>
      </c>
      <c r="G188" s="22">
        <v>2450</v>
      </c>
      <c r="H188" s="22">
        <v>2240</v>
      </c>
      <c r="I188" s="22"/>
      <c r="J188" s="22"/>
      <c r="K188" s="22">
        <v>-36.5</v>
      </c>
      <c r="L188" s="22"/>
      <c r="M188" s="22"/>
      <c r="N188" s="22"/>
      <c r="O188" s="22"/>
      <c r="P188" s="22"/>
      <c r="Q188" s="22"/>
      <c r="R188" s="22"/>
      <c r="S188" s="22"/>
      <c r="T188" s="22"/>
      <c r="U188" s="16">
        <f t="shared" si="19"/>
        <v>0</v>
      </c>
      <c r="V188" s="45" t="e">
        <f t="shared" si="20"/>
        <v>#DIV/0!</v>
      </c>
    </row>
    <row r="189" spans="1:22" x14ac:dyDescent="0.2">
      <c r="A189" s="3">
        <v>707300</v>
      </c>
      <c r="B189" s="3" t="s">
        <v>401</v>
      </c>
      <c r="C189" s="1">
        <v>771110</v>
      </c>
      <c r="D189" s="1" t="s">
        <v>143</v>
      </c>
      <c r="E189" s="22">
        <v>2334.4300000000003</v>
      </c>
      <c r="F189" s="22">
        <v>19639.580000000002</v>
      </c>
      <c r="G189" s="22">
        <v>23384.629999999997</v>
      </c>
      <c r="H189" s="22">
        <v>69491.02</v>
      </c>
      <c r="I189" s="22">
        <v>61371.96</v>
      </c>
      <c r="J189" s="22">
        <v>67898.579999999973</v>
      </c>
      <c r="K189" s="22">
        <v>71335.179999999993</v>
      </c>
      <c r="L189" s="22">
        <v>93135.799999999988</v>
      </c>
      <c r="M189" s="22">
        <v>72158.22</v>
      </c>
      <c r="N189" s="43">
        <v>74471.969999999987</v>
      </c>
      <c r="O189" s="42">
        <v>71615.25999999998</v>
      </c>
      <c r="P189" s="42">
        <v>60365.320000000007</v>
      </c>
      <c r="Q189" s="49">
        <v>58769.770000000011</v>
      </c>
      <c r="R189" s="39">
        <v>46501.829999999987</v>
      </c>
      <c r="S189" s="41">
        <v>39208.26</v>
      </c>
      <c r="T189" s="41">
        <v>33624.270000000004</v>
      </c>
      <c r="U189" s="16">
        <f t="shared" si="19"/>
        <v>-5583.989999999998</v>
      </c>
      <c r="V189" s="45">
        <f t="shared" si="20"/>
        <v>-0.14241871483202767</v>
      </c>
    </row>
    <row r="190" spans="1:22" x14ac:dyDescent="0.2">
      <c r="A190" s="3">
        <v>707200</v>
      </c>
      <c r="B190" s="3" t="s">
        <v>400</v>
      </c>
      <c r="C190" s="1">
        <v>771115</v>
      </c>
      <c r="D190" s="1" t="s">
        <v>144</v>
      </c>
      <c r="E190" s="22">
        <v>106389.28</v>
      </c>
      <c r="F190" s="22">
        <v>30305.11</v>
      </c>
      <c r="G190" s="22">
        <v>48954.640000000007</v>
      </c>
      <c r="H190" s="22">
        <v>23176.129999999997</v>
      </c>
      <c r="I190" s="22">
        <v>41934.85</v>
      </c>
      <c r="J190" s="22">
        <v>38492.76</v>
      </c>
      <c r="K190" s="22">
        <v>11310.77</v>
      </c>
      <c r="L190" s="22">
        <v>28749.180000000004</v>
      </c>
      <c r="M190" s="22">
        <v>19964</v>
      </c>
      <c r="N190" s="43">
        <v>24545.39</v>
      </c>
      <c r="O190" s="42">
        <v>18448.09</v>
      </c>
      <c r="P190" s="42">
        <v>6520</v>
      </c>
      <c r="Q190" s="49">
        <v>7761.72</v>
      </c>
      <c r="R190" s="39">
        <v>4713</v>
      </c>
      <c r="S190" s="41">
        <v>5328</v>
      </c>
      <c r="T190" s="41">
        <v>29777.4</v>
      </c>
      <c r="U190" s="16">
        <f t="shared" si="19"/>
        <v>24449.4</v>
      </c>
      <c r="V190" s="45">
        <f t="shared" si="20"/>
        <v>4.5888513513513516</v>
      </c>
    </row>
    <row r="191" spans="1:22" x14ac:dyDescent="0.2">
      <c r="A191" s="3">
        <v>707306</v>
      </c>
      <c r="B191" s="3" t="s">
        <v>406</v>
      </c>
      <c r="C191" s="1">
        <v>772100</v>
      </c>
      <c r="D191" s="1" t="s">
        <v>145</v>
      </c>
      <c r="E191" s="22">
        <v>13500.63</v>
      </c>
      <c r="F191" s="22">
        <v>14435.65</v>
      </c>
      <c r="G191" s="22">
        <v>12255.73</v>
      </c>
      <c r="H191" s="22">
        <v>54906.8</v>
      </c>
      <c r="I191" s="22">
        <v>26585</v>
      </c>
      <c r="J191" s="22">
        <v>14062.66</v>
      </c>
      <c r="K191" s="22">
        <v>10458.84</v>
      </c>
      <c r="L191" s="22">
        <v>5688.2</v>
      </c>
      <c r="M191" s="22">
        <v>32540.010000000002</v>
      </c>
      <c r="N191" s="43">
        <v>33790.14</v>
      </c>
      <c r="O191" s="42">
        <v>27071.780000000002</v>
      </c>
      <c r="P191" s="42">
        <v>24155.710000000003</v>
      </c>
      <c r="Q191" s="49">
        <v>8084.77</v>
      </c>
      <c r="R191" s="39">
        <v>18530.07</v>
      </c>
      <c r="S191" s="41">
        <v>11196.36</v>
      </c>
      <c r="T191" s="41"/>
      <c r="U191" s="16">
        <f t="shared" si="19"/>
        <v>-11196.36</v>
      </c>
      <c r="V191" s="45">
        <f t="shared" si="20"/>
        <v>-1</v>
      </c>
    </row>
    <row r="192" spans="1:22" x14ac:dyDescent="0.2">
      <c r="A192" s="3">
        <v>702201</v>
      </c>
      <c r="B192" s="3" t="s">
        <v>443</v>
      </c>
      <c r="C192" s="1">
        <v>772105</v>
      </c>
      <c r="D192" s="1" t="s">
        <v>146</v>
      </c>
      <c r="E192" s="22"/>
      <c r="F192" s="22">
        <v>0</v>
      </c>
      <c r="G192" s="22">
        <v>159.72</v>
      </c>
      <c r="H192" s="22"/>
      <c r="I192" s="22"/>
      <c r="J192" s="22"/>
      <c r="K192" s="22"/>
      <c r="L192" s="22"/>
      <c r="M192" s="22"/>
      <c r="N192" s="22"/>
      <c r="O192" s="42">
        <v>1669.44</v>
      </c>
      <c r="P192" s="42"/>
      <c r="Q192" s="42"/>
      <c r="R192" s="42"/>
      <c r="S192" s="42"/>
      <c r="T192" s="42"/>
      <c r="U192" s="16">
        <f t="shared" si="19"/>
        <v>0</v>
      </c>
      <c r="V192" s="45" t="e">
        <f t="shared" si="20"/>
        <v>#DIV/0!</v>
      </c>
    </row>
    <row r="193" spans="1:22" x14ac:dyDescent="0.2">
      <c r="A193" s="3">
        <v>707305</v>
      </c>
      <c r="B193" s="3" t="s">
        <v>405</v>
      </c>
      <c r="C193" s="57">
        <v>772110</v>
      </c>
      <c r="D193" s="57" t="s">
        <v>278</v>
      </c>
      <c r="E193" s="22">
        <v>140</v>
      </c>
      <c r="F193" s="22">
        <v>70</v>
      </c>
      <c r="G193" s="22">
        <v>280</v>
      </c>
      <c r="H193" s="22">
        <v>70</v>
      </c>
      <c r="I193" s="22">
        <v>70</v>
      </c>
      <c r="J193" s="22"/>
      <c r="K193" s="22"/>
      <c r="L193" s="22"/>
      <c r="M193" s="22"/>
      <c r="N193" s="22"/>
      <c r="O193" s="22"/>
      <c r="P193" s="22"/>
      <c r="Q193" s="22"/>
      <c r="R193" s="22"/>
      <c r="S193" s="22"/>
      <c r="T193" s="22"/>
      <c r="U193" s="16">
        <f t="shared" si="19"/>
        <v>0</v>
      </c>
      <c r="V193" s="45" t="e">
        <f t="shared" si="20"/>
        <v>#DIV/0!</v>
      </c>
    </row>
    <row r="194" spans="1:22" x14ac:dyDescent="0.2">
      <c r="A194" s="3">
        <v>707502</v>
      </c>
      <c r="B194" s="3" t="s">
        <v>444</v>
      </c>
      <c r="C194" s="1">
        <v>772115</v>
      </c>
      <c r="D194" s="1" t="s">
        <v>147</v>
      </c>
      <c r="E194" s="22">
        <v>20517.43</v>
      </c>
      <c r="F194" s="22">
        <v>72436.350000000006</v>
      </c>
      <c r="G194" s="22">
        <v>89912.510000000009</v>
      </c>
      <c r="H194" s="22">
        <v>35548.97</v>
      </c>
      <c r="I194" s="22">
        <v>18373.440000000002</v>
      </c>
      <c r="J194" s="22">
        <v>12036.85</v>
      </c>
      <c r="K194" s="22">
        <v>3387.2200000000003</v>
      </c>
      <c r="L194" s="22">
        <v>6922.52</v>
      </c>
      <c r="M194" s="22">
        <v>13530.879999999997</v>
      </c>
      <c r="N194" s="43">
        <v>6814.5</v>
      </c>
      <c r="O194" s="42">
        <v>13128.550000000001</v>
      </c>
      <c r="P194" s="42">
        <v>41410.959999999999</v>
      </c>
      <c r="Q194" s="49">
        <v>59553.07</v>
      </c>
      <c r="R194" s="39">
        <v>22293.62</v>
      </c>
      <c r="S194" s="39"/>
      <c r="T194" s="41">
        <v>1300.5</v>
      </c>
      <c r="U194" s="16">
        <f t="shared" si="19"/>
        <v>1300.5</v>
      </c>
      <c r="V194" s="45" t="e">
        <f t="shared" si="20"/>
        <v>#DIV/0!</v>
      </c>
    </row>
    <row r="195" spans="1:22" x14ac:dyDescent="0.2">
      <c r="A195" s="3">
        <v>706501</v>
      </c>
      <c r="B195" s="3" t="s">
        <v>382</v>
      </c>
      <c r="C195" s="1">
        <v>772116</v>
      </c>
      <c r="D195" s="1" t="s">
        <v>148</v>
      </c>
      <c r="E195" s="22">
        <v>675</v>
      </c>
      <c r="F195" s="22">
        <v>2840.8</v>
      </c>
      <c r="G195" s="22">
        <v>4484.6000000000004</v>
      </c>
      <c r="H195" s="22">
        <v>1560.96</v>
      </c>
      <c r="I195" s="22"/>
      <c r="J195" s="22"/>
      <c r="K195" s="22"/>
      <c r="L195" s="22"/>
      <c r="M195" s="22">
        <v>62388.71</v>
      </c>
      <c r="N195" s="43"/>
      <c r="O195" s="42">
        <v>8184.1</v>
      </c>
      <c r="P195" s="42"/>
      <c r="Q195" s="49">
        <v>1687</v>
      </c>
      <c r="R195" s="39">
        <v>3359.5</v>
      </c>
      <c r="S195" s="39"/>
      <c r="T195" s="39"/>
      <c r="U195" s="16">
        <f t="shared" si="19"/>
        <v>0</v>
      </c>
      <c r="V195" s="45" t="e">
        <f t="shared" si="20"/>
        <v>#DIV/0!</v>
      </c>
    </row>
    <row r="196" spans="1:22" x14ac:dyDescent="0.2">
      <c r="A196" s="3">
        <v>706502</v>
      </c>
      <c r="B196" s="3" t="s">
        <v>383</v>
      </c>
      <c r="C196" s="1">
        <v>772117</v>
      </c>
      <c r="D196" s="1" t="s">
        <v>149</v>
      </c>
      <c r="E196" s="22">
        <v>208660.31</v>
      </c>
      <c r="F196" s="22">
        <v>360783.77999999997</v>
      </c>
      <c r="G196" s="22">
        <v>301864.78999999998</v>
      </c>
      <c r="H196" s="22">
        <v>76277.349999999991</v>
      </c>
      <c r="I196" s="22">
        <v>61447.22</v>
      </c>
      <c r="J196" s="22">
        <v>24996.53</v>
      </c>
      <c r="K196" s="22">
        <v>22034.400000000001</v>
      </c>
      <c r="L196" s="22">
        <v>4200.6100000000006</v>
      </c>
      <c r="M196" s="22">
        <v>1965.08</v>
      </c>
      <c r="N196" s="43">
        <v>25492.05</v>
      </c>
      <c r="O196" s="42">
        <v>27382.36</v>
      </c>
      <c r="P196" s="42">
        <v>43284.86</v>
      </c>
      <c r="Q196" s="49">
        <v>64871.990000000005</v>
      </c>
      <c r="R196" s="39">
        <v>27377.03</v>
      </c>
      <c r="S196" s="41">
        <v>10649.88</v>
      </c>
      <c r="T196" s="41">
        <v>583453.98</v>
      </c>
      <c r="U196" s="16">
        <f t="shared" si="19"/>
        <v>572804.1</v>
      </c>
      <c r="V196" s="45">
        <f t="shared" si="20"/>
        <v>53.785028563702127</v>
      </c>
    </row>
    <row r="197" spans="1:22" x14ac:dyDescent="0.2">
      <c r="A197" s="3">
        <v>706503</v>
      </c>
      <c r="B197" s="3" t="s">
        <v>384</v>
      </c>
      <c r="C197" s="57">
        <v>772118</v>
      </c>
      <c r="D197" s="57" t="s">
        <v>290</v>
      </c>
      <c r="E197" s="22"/>
      <c r="F197" s="22"/>
      <c r="G197" s="22"/>
      <c r="H197" s="22"/>
      <c r="I197" s="22"/>
      <c r="J197" s="22"/>
      <c r="K197" s="22"/>
      <c r="L197" s="22">
        <v>3792</v>
      </c>
      <c r="M197" s="22"/>
      <c r="N197" s="43">
        <v>1650</v>
      </c>
      <c r="O197" s="42">
        <v>15968.880000000001</v>
      </c>
      <c r="P197" s="42">
        <v>29058.400000000001</v>
      </c>
      <c r="Q197" s="49">
        <v>23212.25</v>
      </c>
      <c r="R197" s="39">
        <v>17550</v>
      </c>
      <c r="S197" s="41">
        <v>26012.7</v>
      </c>
      <c r="T197" s="41"/>
      <c r="U197" s="16">
        <f t="shared" si="19"/>
        <v>-26012.7</v>
      </c>
      <c r="V197" s="45">
        <f t="shared" si="20"/>
        <v>-1</v>
      </c>
    </row>
    <row r="198" spans="1:22" x14ac:dyDescent="0.2">
      <c r="A198" s="3">
        <v>707301</v>
      </c>
      <c r="B198" s="3" t="s">
        <v>402</v>
      </c>
      <c r="C198" s="1">
        <v>772120</v>
      </c>
      <c r="D198" s="1" t="s">
        <v>150</v>
      </c>
      <c r="E198" s="22">
        <v>987.57999999999993</v>
      </c>
      <c r="F198" s="22">
        <v>507.11</v>
      </c>
      <c r="G198" s="22">
        <v>3736.67</v>
      </c>
      <c r="H198" s="22">
        <v>2028.64</v>
      </c>
      <c r="I198" s="22">
        <v>3802.51</v>
      </c>
      <c r="J198" s="22">
        <v>4187.1699999999992</v>
      </c>
      <c r="K198" s="22">
        <v>4003.21</v>
      </c>
      <c r="L198" s="22">
        <v>2051.8000000000002</v>
      </c>
      <c r="M198" s="22">
        <v>4702.3900000000003</v>
      </c>
      <c r="N198" s="43">
        <v>3795.66</v>
      </c>
      <c r="O198" s="42">
        <v>4753.1900000000005</v>
      </c>
      <c r="P198" s="42">
        <v>9305.7900000000009</v>
      </c>
      <c r="Q198" s="49">
        <v>12523.52</v>
      </c>
      <c r="R198" s="39">
        <v>4419.43</v>
      </c>
      <c r="S198" s="41">
        <v>9880.3700000000008</v>
      </c>
      <c r="T198" s="41">
        <v>899.02</v>
      </c>
      <c r="U198" s="16">
        <f t="shared" si="19"/>
        <v>-8981.35</v>
      </c>
      <c r="V198" s="45">
        <f t="shared" si="20"/>
        <v>-0.90900948041419494</v>
      </c>
    </row>
    <row r="199" spans="1:22" x14ac:dyDescent="0.2">
      <c r="A199" s="3">
        <v>702200</v>
      </c>
      <c r="B199" s="3" t="s">
        <v>74</v>
      </c>
      <c r="C199" s="1">
        <v>772125</v>
      </c>
      <c r="D199" s="1" t="s">
        <v>151</v>
      </c>
      <c r="E199" s="22"/>
      <c r="F199" s="22">
        <v>651.31000000000006</v>
      </c>
      <c r="G199" s="22">
        <v>488</v>
      </c>
      <c r="H199" s="22"/>
      <c r="I199" s="22"/>
      <c r="J199" s="22"/>
      <c r="K199" s="22"/>
      <c r="L199" s="22"/>
      <c r="M199" s="22"/>
      <c r="N199" s="22"/>
      <c r="O199" s="22"/>
      <c r="P199" s="22">
        <v>54.620000000000005</v>
      </c>
      <c r="Q199" s="22"/>
      <c r="R199" s="22"/>
      <c r="S199" s="22"/>
      <c r="T199" s="22"/>
      <c r="U199" s="16">
        <f t="shared" si="19"/>
        <v>0</v>
      </c>
      <c r="V199" s="45" t="e">
        <f t="shared" si="20"/>
        <v>#DIV/0!</v>
      </c>
    </row>
    <row r="200" spans="1:22" x14ac:dyDescent="0.2">
      <c r="A200" s="3">
        <v>707303</v>
      </c>
      <c r="B200" s="3" t="s">
        <v>403</v>
      </c>
      <c r="C200" s="57">
        <v>772130</v>
      </c>
      <c r="D200" s="57" t="s">
        <v>196</v>
      </c>
      <c r="E200" s="22">
        <v>2842.4</v>
      </c>
      <c r="F200" s="22">
        <v>15101.43</v>
      </c>
      <c r="G200" s="22">
        <v>9937.7999999999993</v>
      </c>
      <c r="H200" s="22">
        <v>7119.62</v>
      </c>
      <c r="I200" s="22">
        <v>7411.3</v>
      </c>
      <c r="J200" s="22">
        <v>3486.42</v>
      </c>
      <c r="K200" s="22">
        <v>11323.1</v>
      </c>
      <c r="L200" s="22">
        <v>2100</v>
      </c>
      <c r="M200" s="22">
        <v>268620.90000000002</v>
      </c>
      <c r="N200" s="43">
        <v>6746</v>
      </c>
      <c r="O200" s="42">
        <v>60215.12</v>
      </c>
      <c r="P200" s="42">
        <v>7344.6</v>
      </c>
      <c r="Q200" s="49">
        <v>17146.150000000001</v>
      </c>
      <c r="R200" s="49"/>
      <c r="S200" s="49"/>
      <c r="T200" s="49"/>
      <c r="U200" s="16">
        <f t="shared" si="19"/>
        <v>0</v>
      </c>
      <c r="V200" s="45" t="e">
        <f t="shared" si="20"/>
        <v>#DIV/0!</v>
      </c>
    </row>
    <row r="201" spans="1:22" x14ac:dyDescent="0.2">
      <c r="A201" s="3">
        <v>707304</v>
      </c>
      <c r="B201" s="3" t="s">
        <v>404</v>
      </c>
      <c r="C201" s="1">
        <v>772135</v>
      </c>
      <c r="D201" s="1" t="s">
        <v>152</v>
      </c>
      <c r="E201" s="22">
        <v>2004.6000000000001</v>
      </c>
      <c r="F201" s="22">
        <v>93.2</v>
      </c>
      <c r="G201" s="22">
        <v>3165.65</v>
      </c>
      <c r="H201" s="22">
        <v>1680</v>
      </c>
      <c r="I201" s="22">
        <v>2990.36</v>
      </c>
      <c r="J201" s="22">
        <v>1554.67</v>
      </c>
      <c r="K201" s="22">
        <v>600.97</v>
      </c>
      <c r="L201" s="22">
        <v>1981.5100000000002</v>
      </c>
      <c r="M201" s="22">
        <v>869.74</v>
      </c>
      <c r="N201" s="43">
        <v>3671.9900000000002</v>
      </c>
      <c r="O201" s="42">
        <v>2830.2</v>
      </c>
      <c r="P201" s="42">
        <v>552.96</v>
      </c>
      <c r="Q201" s="49">
        <v>335.40000000000003</v>
      </c>
      <c r="R201" s="39">
        <v>802.84</v>
      </c>
      <c r="S201" s="41">
        <v>3234.9900000000002</v>
      </c>
      <c r="T201" s="41">
        <v>109.94</v>
      </c>
      <c r="U201" s="16">
        <f t="shared" si="19"/>
        <v>-3125.05</v>
      </c>
      <c r="V201" s="45">
        <f t="shared" si="20"/>
        <v>-0.96601535089752977</v>
      </c>
    </row>
    <row r="202" spans="1:22" x14ac:dyDescent="0.2">
      <c r="A202" s="3">
        <v>707309</v>
      </c>
      <c r="B202" s="3" t="s">
        <v>408</v>
      </c>
      <c r="C202" s="1">
        <v>772140</v>
      </c>
      <c r="D202" s="1" t="s">
        <v>153</v>
      </c>
      <c r="E202" s="22">
        <v>18769.640000000003</v>
      </c>
      <c r="F202" s="22">
        <v>28134.65</v>
      </c>
      <c r="G202" s="22">
        <v>120110.51000000002</v>
      </c>
      <c r="H202" s="22">
        <v>43907.360000000001</v>
      </c>
      <c r="I202" s="22">
        <v>35226.740000000013</v>
      </c>
      <c r="J202" s="22">
        <v>31217.570000000003</v>
      </c>
      <c r="K202" s="22">
        <v>18951.440000000002</v>
      </c>
      <c r="L202" s="22">
        <v>39986.180000000008</v>
      </c>
      <c r="M202" s="22">
        <v>30424.13</v>
      </c>
      <c r="N202" s="43">
        <v>29806.970000000005</v>
      </c>
      <c r="O202" s="42">
        <v>36709.150000000009</v>
      </c>
      <c r="P202" s="42">
        <v>19619.730000000003</v>
      </c>
      <c r="Q202" s="49">
        <v>30691.990000000005</v>
      </c>
      <c r="R202" s="39">
        <v>15427.980000000001</v>
      </c>
      <c r="S202" s="41">
        <v>10100.939999999999</v>
      </c>
      <c r="T202" s="41">
        <v>18629.669999999998</v>
      </c>
      <c r="U202" s="16">
        <f t="shared" si="19"/>
        <v>8528.73</v>
      </c>
      <c r="V202" s="45">
        <f t="shared" si="20"/>
        <v>0.84435012978990076</v>
      </c>
    </row>
    <row r="203" spans="1:22" x14ac:dyDescent="0.2">
      <c r="A203" s="3">
        <v>707307</v>
      </c>
      <c r="B203" s="3" t="s">
        <v>407</v>
      </c>
      <c r="C203" s="1">
        <v>772150</v>
      </c>
      <c r="D203" s="1" t="s">
        <v>154</v>
      </c>
      <c r="E203" s="22">
        <v>36565.54</v>
      </c>
      <c r="F203" s="22">
        <v>23930.769999999997</v>
      </c>
      <c r="G203" s="22">
        <v>14651.96</v>
      </c>
      <c r="H203" s="22">
        <v>22478.280000000002</v>
      </c>
      <c r="I203" s="22">
        <v>2991.26</v>
      </c>
      <c r="J203" s="22">
        <v>1695</v>
      </c>
      <c r="K203" s="22"/>
      <c r="L203" s="22">
        <v>16306.900000000001</v>
      </c>
      <c r="M203" s="22">
        <v>2225</v>
      </c>
      <c r="N203" s="43">
        <v>6395.2800000000007</v>
      </c>
      <c r="O203" s="42">
        <v>5958.29</v>
      </c>
      <c r="P203" s="42">
        <v>6131.37</v>
      </c>
      <c r="Q203" s="49">
        <v>33064.710000000006</v>
      </c>
      <c r="R203" s="39">
        <v>20165.97</v>
      </c>
      <c r="S203" s="41">
        <v>18191.73</v>
      </c>
      <c r="T203" s="41">
        <v>4343.6900000000005</v>
      </c>
      <c r="U203" s="16">
        <f t="shared" si="19"/>
        <v>-13848.039999999999</v>
      </c>
      <c r="V203" s="45">
        <f t="shared" si="20"/>
        <v>-0.76122721698266183</v>
      </c>
    </row>
    <row r="204" spans="1:22" x14ac:dyDescent="0.2">
      <c r="A204" s="3">
        <v>707308</v>
      </c>
      <c r="B204" s="3" t="s">
        <v>445</v>
      </c>
      <c r="C204" s="57">
        <v>772155</v>
      </c>
      <c r="D204" s="57" t="s">
        <v>260</v>
      </c>
      <c r="E204" s="22">
        <v>762.67</v>
      </c>
      <c r="F204" s="22"/>
      <c r="G204" s="22">
        <v>765.25</v>
      </c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22"/>
      <c r="U204" s="16">
        <f t="shared" si="19"/>
        <v>0</v>
      </c>
      <c r="V204" s="45" t="e">
        <f t="shared" si="20"/>
        <v>#DIV/0!</v>
      </c>
    </row>
    <row r="205" spans="1:22" x14ac:dyDescent="0.2">
      <c r="A205" s="3">
        <v>707350</v>
      </c>
      <c r="B205" s="3" t="s">
        <v>409</v>
      </c>
      <c r="C205" s="1">
        <v>773100</v>
      </c>
      <c r="D205" s="1" t="s">
        <v>155</v>
      </c>
      <c r="E205" s="22">
        <v>233768.81</v>
      </c>
      <c r="F205" s="22">
        <v>161235.94</v>
      </c>
      <c r="G205" s="22">
        <v>180907.28999999998</v>
      </c>
      <c r="H205" s="22">
        <v>241266.74000000005</v>
      </c>
      <c r="I205" s="22">
        <v>233607.24999999997</v>
      </c>
      <c r="J205" s="22">
        <v>246581.06000000003</v>
      </c>
      <c r="K205" s="22">
        <v>160330</v>
      </c>
      <c r="L205" s="22">
        <v>189534.82</v>
      </c>
      <c r="M205" s="22">
        <v>127388.77999999998</v>
      </c>
      <c r="N205" s="43">
        <v>119955.96</v>
      </c>
      <c r="O205" s="42">
        <v>140247.51999999999</v>
      </c>
      <c r="P205" s="42">
        <v>138106.71</v>
      </c>
      <c r="Q205" s="49">
        <v>157288.35</v>
      </c>
      <c r="R205" s="39">
        <v>267807.01</v>
      </c>
      <c r="S205" s="41">
        <v>197354.64</v>
      </c>
      <c r="T205" s="41">
        <v>143190.12</v>
      </c>
      <c r="U205" s="16">
        <f t="shared" si="19"/>
        <v>-54164.520000000019</v>
      </c>
      <c r="V205" s="45">
        <f t="shared" si="20"/>
        <v>-0.27445273138751647</v>
      </c>
    </row>
    <row r="206" spans="1:22" x14ac:dyDescent="0.2">
      <c r="A206" s="3">
        <v>707350</v>
      </c>
      <c r="B206" s="3" t="s">
        <v>409</v>
      </c>
      <c r="C206" s="57">
        <v>773105</v>
      </c>
      <c r="D206" s="57" t="s">
        <v>280</v>
      </c>
      <c r="E206" s="22">
        <v>62</v>
      </c>
      <c r="F206" s="22"/>
      <c r="G206" s="22"/>
      <c r="H206" s="22"/>
      <c r="I206" s="22"/>
      <c r="J206" s="22"/>
      <c r="K206" s="22"/>
      <c r="L206" s="22"/>
      <c r="M206" s="22">
        <v>1495.57</v>
      </c>
      <c r="N206" s="43"/>
      <c r="O206" s="42"/>
      <c r="P206" s="42"/>
      <c r="Q206" s="42"/>
      <c r="R206" s="42"/>
      <c r="S206" s="42"/>
      <c r="T206" s="42"/>
      <c r="U206" s="16">
        <f t="shared" si="19"/>
        <v>0</v>
      </c>
      <c r="V206" s="45" t="e">
        <f t="shared" si="20"/>
        <v>#DIV/0!</v>
      </c>
    </row>
    <row r="207" spans="1:22" x14ac:dyDescent="0.2">
      <c r="A207" s="3">
        <v>707350</v>
      </c>
      <c r="B207" s="3" t="s">
        <v>409</v>
      </c>
      <c r="C207" s="1">
        <v>773110</v>
      </c>
      <c r="D207" s="1" t="s">
        <v>156</v>
      </c>
      <c r="E207" s="22">
        <v>-26513.49</v>
      </c>
      <c r="F207" s="22">
        <v>-19121.759999999998</v>
      </c>
      <c r="G207" s="22">
        <v>-18571.91</v>
      </c>
      <c r="H207" s="22">
        <v>-11717.5</v>
      </c>
      <c r="I207" s="22">
        <v>-11245.7</v>
      </c>
      <c r="J207" s="22">
        <v>-7582.78</v>
      </c>
      <c r="K207" s="22">
        <v>-12999.09</v>
      </c>
      <c r="L207" s="22">
        <v>-14525.1</v>
      </c>
      <c r="M207" s="22">
        <v>-9865.49</v>
      </c>
      <c r="N207" s="43">
        <v>-18788.539999999997</v>
      </c>
      <c r="O207" s="42">
        <v>-20336.570000000003</v>
      </c>
      <c r="P207" s="42">
        <v>-19616</v>
      </c>
      <c r="Q207" s="49">
        <v>-28294.15</v>
      </c>
      <c r="R207" s="49"/>
      <c r="S207" s="49"/>
      <c r="T207" s="49"/>
      <c r="U207" s="16">
        <f t="shared" si="19"/>
        <v>0</v>
      </c>
      <c r="V207" s="45" t="e">
        <f t="shared" si="20"/>
        <v>#DIV/0!</v>
      </c>
    </row>
    <row r="208" spans="1:22" x14ac:dyDescent="0.2">
      <c r="A208" s="3">
        <v>707403</v>
      </c>
      <c r="B208" s="3" t="s">
        <v>410</v>
      </c>
      <c r="C208" s="1">
        <v>773115</v>
      </c>
      <c r="D208" s="1" t="s">
        <v>157</v>
      </c>
      <c r="E208" s="22">
        <v>17651.969999999998</v>
      </c>
      <c r="F208" s="22">
        <v>18432.689999999999</v>
      </c>
      <c r="G208" s="22">
        <v>14778.710000000003</v>
      </c>
      <c r="H208" s="22">
        <v>17557.36</v>
      </c>
      <c r="I208" s="22">
        <v>11194.84</v>
      </c>
      <c r="J208" s="22">
        <v>9398.82</v>
      </c>
      <c r="K208" s="22">
        <v>8517.33</v>
      </c>
      <c r="L208" s="22">
        <v>3487.23</v>
      </c>
      <c r="M208" s="22">
        <v>3626.44</v>
      </c>
      <c r="N208" s="43">
        <v>1694.77</v>
      </c>
      <c r="O208" s="42">
        <v>726.85</v>
      </c>
      <c r="P208" s="42">
        <v>751.33</v>
      </c>
      <c r="Q208" s="49">
        <v>671.79</v>
      </c>
      <c r="R208" s="39">
        <v>1016.34</v>
      </c>
      <c r="S208" s="41">
        <v>220.35</v>
      </c>
      <c r="T208" s="41">
        <v>298.13</v>
      </c>
      <c r="U208" s="16">
        <f t="shared" si="19"/>
        <v>77.78</v>
      </c>
      <c r="V208" s="45">
        <f t="shared" si="20"/>
        <v>0.35298388926707513</v>
      </c>
    </row>
    <row r="209" spans="1:22" x14ac:dyDescent="0.2">
      <c r="A209" s="3">
        <v>707400</v>
      </c>
      <c r="B209" s="3" t="s">
        <v>158</v>
      </c>
      <c r="C209" s="1">
        <v>773120</v>
      </c>
      <c r="D209" s="1" t="s">
        <v>158</v>
      </c>
      <c r="E209" s="22">
        <v>70350.37</v>
      </c>
      <c r="F209" s="22">
        <v>144587.44999999998</v>
      </c>
      <c r="G209" s="22">
        <v>73356.100000000006</v>
      </c>
      <c r="H209" s="22">
        <v>93800.97</v>
      </c>
      <c r="I209" s="22">
        <v>106270.34000000001</v>
      </c>
      <c r="J209" s="22">
        <v>100989.08</v>
      </c>
      <c r="K209" s="22">
        <v>84542.779999999984</v>
      </c>
      <c r="L209" s="22">
        <v>105401.95000000003</v>
      </c>
      <c r="M209" s="22">
        <v>68200.63</v>
      </c>
      <c r="N209" s="43">
        <v>74845.25</v>
      </c>
      <c r="O209" s="42">
        <v>72325.53</v>
      </c>
      <c r="P209" s="42">
        <v>68645.91</v>
      </c>
      <c r="Q209" s="49">
        <v>53868.700000000004</v>
      </c>
      <c r="R209" s="39">
        <v>92871.489999999991</v>
      </c>
      <c r="S209" s="41">
        <v>103627.69</v>
      </c>
      <c r="T209" s="41">
        <v>87424.930000000008</v>
      </c>
      <c r="U209" s="16">
        <f t="shared" si="19"/>
        <v>-16202.759999999995</v>
      </c>
      <c r="V209" s="45">
        <f t="shared" si="20"/>
        <v>-0.15635550691132838</v>
      </c>
    </row>
    <row r="210" spans="1:22" x14ac:dyDescent="0.2">
      <c r="A210" s="3">
        <v>702105</v>
      </c>
      <c r="B210" s="3" t="s">
        <v>350</v>
      </c>
      <c r="C210" s="1">
        <v>773125</v>
      </c>
      <c r="D210" s="1" t="s">
        <v>159</v>
      </c>
      <c r="E210" s="22">
        <v>26800</v>
      </c>
      <c r="F210" s="22">
        <v>28135</v>
      </c>
      <c r="G210" s="22">
        <v>35724.400000000001</v>
      </c>
      <c r="H210" s="22">
        <v>57153.5</v>
      </c>
      <c r="I210" s="22">
        <v>51123.4</v>
      </c>
      <c r="J210" s="22">
        <v>53168</v>
      </c>
      <c r="K210" s="22">
        <v>61930</v>
      </c>
      <c r="L210" s="22">
        <v>61455</v>
      </c>
      <c r="M210" s="22">
        <v>44984</v>
      </c>
      <c r="N210" s="43">
        <v>41779.910000000003</v>
      </c>
      <c r="O210" s="42">
        <v>51097.78</v>
      </c>
      <c r="P210" s="42">
        <v>40163.800000000003</v>
      </c>
      <c r="Q210" s="49">
        <v>10780.25</v>
      </c>
      <c r="R210" s="39">
        <v>2005</v>
      </c>
      <c r="S210" s="41">
        <v>106</v>
      </c>
      <c r="T210" s="41"/>
      <c r="U210" s="16">
        <f t="shared" si="19"/>
        <v>-106</v>
      </c>
      <c r="V210" s="45">
        <f t="shared" si="20"/>
        <v>-1</v>
      </c>
    </row>
    <row r="211" spans="1:22" x14ac:dyDescent="0.2">
      <c r="A211" s="3">
        <v>707505</v>
      </c>
      <c r="B211" s="3" t="s">
        <v>413</v>
      </c>
      <c r="C211" s="1">
        <v>773130</v>
      </c>
      <c r="D211" s="1" t="s">
        <v>160</v>
      </c>
      <c r="E211" s="22">
        <v>29891</v>
      </c>
      <c r="F211" s="22">
        <v>31608</v>
      </c>
      <c r="G211" s="22">
        <v>31608</v>
      </c>
      <c r="H211" s="22">
        <v>32718.34</v>
      </c>
      <c r="I211" s="22">
        <v>28705.61</v>
      </c>
      <c r="J211" s="22">
        <v>28046</v>
      </c>
      <c r="K211" s="22">
        <v>27876</v>
      </c>
      <c r="L211" s="22">
        <v>24729</v>
      </c>
      <c r="M211" s="22">
        <v>28616</v>
      </c>
      <c r="N211" s="43">
        <v>10786.6</v>
      </c>
      <c r="O211" s="42">
        <v>17460.39</v>
      </c>
      <c r="P211" s="42">
        <v>18455.05</v>
      </c>
      <c r="Q211" s="49">
        <v>16941.099999999999</v>
      </c>
      <c r="R211" s="39">
        <v>1062.93</v>
      </c>
      <c r="S211" s="41">
        <v>138.01</v>
      </c>
      <c r="T211" s="41"/>
      <c r="U211" s="16">
        <f t="shared" si="19"/>
        <v>-138.01</v>
      </c>
      <c r="V211" s="45">
        <f t="shared" si="20"/>
        <v>-1</v>
      </c>
    </row>
    <row r="212" spans="1:22" x14ac:dyDescent="0.2">
      <c r="A212" s="3">
        <v>707505</v>
      </c>
      <c r="B212" s="3" t="s">
        <v>413</v>
      </c>
      <c r="C212" s="1">
        <v>773135</v>
      </c>
      <c r="D212" s="1" t="s">
        <v>161</v>
      </c>
      <c r="E212" s="22">
        <v>257.97000000000003</v>
      </c>
      <c r="F212" s="22"/>
      <c r="G212" s="22">
        <v>658.12</v>
      </c>
      <c r="H212" s="22">
        <v>1036.26</v>
      </c>
      <c r="I212" s="22">
        <v>886.93000000000006</v>
      </c>
      <c r="J212" s="22">
        <v>1267.4000000000001</v>
      </c>
      <c r="K212" s="22">
        <v>1139.6200000000001</v>
      </c>
      <c r="L212" s="22">
        <v>1540.37</v>
      </c>
      <c r="M212" s="22">
        <v>1809.9600000000003</v>
      </c>
      <c r="N212" s="43">
        <v>1466.92</v>
      </c>
      <c r="O212" s="42">
        <v>1346.64</v>
      </c>
      <c r="P212" s="42">
        <v>377.49</v>
      </c>
      <c r="Q212" s="49">
        <v>1457.17</v>
      </c>
      <c r="R212" s="49"/>
      <c r="S212" s="49"/>
      <c r="T212" s="49"/>
      <c r="U212" s="16">
        <f t="shared" si="19"/>
        <v>0</v>
      </c>
      <c r="V212" s="45" t="e">
        <f t="shared" si="20"/>
        <v>#DIV/0!</v>
      </c>
    </row>
    <row r="213" spans="1:22" x14ac:dyDescent="0.2">
      <c r="A213" s="3">
        <v>707452</v>
      </c>
      <c r="B213" s="3" t="s">
        <v>412</v>
      </c>
      <c r="C213" s="1">
        <v>773141</v>
      </c>
      <c r="D213" s="1" t="s">
        <v>162</v>
      </c>
      <c r="E213" s="22">
        <v>8261.48</v>
      </c>
      <c r="F213" s="22">
        <v>11202.439999999999</v>
      </c>
      <c r="G213" s="22">
        <v>17927.230000000003</v>
      </c>
      <c r="H213" s="22">
        <v>11517.95</v>
      </c>
      <c r="I213" s="22">
        <v>2709</v>
      </c>
      <c r="J213" s="22">
        <v>4304.96</v>
      </c>
      <c r="K213" s="22">
        <v>66087.390000000014</v>
      </c>
      <c r="L213" s="22">
        <v>93344.73</v>
      </c>
      <c r="M213" s="22">
        <v>86302.62</v>
      </c>
      <c r="N213" s="43">
        <v>83057.66</v>
      </c>
      <c r="O213" s="42">
        <v>67098.62000000001</v>
      </c>
      <c r="P213" s="42">
        <v>81889.27</v>
      </c>
      <c r="Q213" s="49">
        <v>89442.290000000008</v>
      </c>
      <c r="R213" s="39">
        <v>612</v>
      </c>
      <c r="S213" s="41">
        <v>748.65</v>
      </c>
      <c r="T213" s="41"/>
      <c r="U213" s="16">
        <f t="shared" si="19"/>
        <v>-748.65</v>
      </c>
      <c r="V213" s="45">
        <f t="shared" si="20"/>
        <v>-1</v>
      </c>
    </row>
    <row r="214" spans="1:22" x14ac:dyDescent="0.2">
      <c r="A214" s="3">
        <v>707450</v>
      </c>
      <c r="B214" s="3" t="s">
        <v>411</v>
      </c>
      <c r="C214" s="57">
        <v>773142</v>
      </c>
      <c r="D214" s="57" t="s">
        <v>197</v>
      </c>
      <c r="E214" s="22">
        <v>36648</v>
      </c>
      <c r="F214" s="22">
        <v>42084</v>
      </c>
      <c r="G214" s="22">
        <v>82664.94</v>
      </c>
      <c r="H214" s="22">
        <v>63864.959999999999</v>
      </c>
      <c r="I214" s="22">
        <v>77981.400000000009</v>
      </c>
      <c r="J214" s="22">
        <v>79448.400000000009</v>
      </c>
      <c r="K214" s="22">
        <v>77836.960000000006</v>
      </c>
      <c r="L214" s="22">
        <v>87758.52</v>
      </c>
      <c r="M214" s="22">
        <v>84055</v>
      </c>
      <c r="N214" s="43">
        <v>63777.35</v>
      </c>
      <c r="O214" s="42">
        <v>49034.51</v>
      </c>
      <c r="P214" s="42">
        <v>62011.05</v>
      </c>
      <c r="Q214" s="49">
        <v>59238.94</v>
      </c>
      <c r="R214" s="39">
        <v>19733</v>
      </c>
      <c r="S214" s="41">
        <v>6465</v>
      </c>
      <c r="T214" s="41">
        <v>8420</v>
      </c>
      <c r="U214" s="16">
        <f t="shared" si="19"/>
        <v>1955</v>
      </c>
      <c r="V214" s="45">
        <f t="shared" si="20"/>
        <v>0.30239752513534418</v>
      </c>
    </row>
    <row r="215" spans="1:22" x14ac:dyDescent="0.2">
      <c r="A215" s="3">
        <v>707450</v>
      </c>
      <c r="B215" s="3" t="s">
        <v>411</v>
      </c>
      <c r="C215" s="1">
        <v>773144</v>
      </c>
      <c r="D215" s="1" t="s">
        <v>163</v>
      </c>
      <c r="U215" s="16">
        <f t="shared" si="19"/>
        <v>0</v>
      </c>
      <c r="V215" s="45" t="e">
        <f t="shared" si="20"/>
        <v>#DIV/0!</v>
      </c>
    </row>
    <row r="216" spans="1:22" x14ac:dyDescent="0.2">
      <c r="A216" s="3">
        <v>707451</v>
      </c>
      <c r="B216" s="3" t="s">
        <v>446</v>
      </c>
      <c r="C216" s="1">
        <v>773145</v>
      </c>
      <c r="D216" s="1" t="s">
        <v>198</v>
      </c>
      <c r="N216" s="43">
        <v>16102.11</v>
      </c>
      <c r="U216" s="16">
        <f t="shared" si="19"/>
        <v>0</v>
      </c>
      <c r="V216" s="45" t="e">
        <f t="shared" si="20"/>
        <v>#DIV/0!</v>
      </c>
    </row>
    <row r="217" spans="1:22" x14ac:dyDescent="0.2">
      <c r="A217" s="3">
        <v>707402</v>
      </c>
      <c r="B217" s="3" t="s">
        <v>447</v>
      </c>
      <c r="C217" s="57">
        <v>773150</v>
      </c>
      <c r="D217" s="57" t="s">
        <v>199</v>
      </c>
      <c r="E217" s="22"/>
      <c r="F217" s="22"/>
      <c r="G217" s="22"/>
      <c r="H217" s="22">
        <v>2040</v>
      </c>
      <c r="I217" s="22">
        <v>2040</v>
      </c>
      <c r="J217" s="22">
        <v>2040</v>
      </c>
      <c r="K217" s="22">
        <v>2040</v>
      </c>
      <c r="L217" s="22">
        <v>2040</v>
      </c>
      <c r="M217" s="22">
        <v>193.26</v>
      </c>
      <c r="N217" s="22"/>
      <c r="O217" s="22"/>
      <c r="P217" s="22"/>
      <c r="Q217" s="22"/>
      <c r="R217" s="22"/>
      <c r="S217" s="41">
        <v>31.900000000000002</v>
      </c>
      <c r="T217" s="41">
        <v>15.950000000000001</v>
      </c>
      <c r="U217" s="16">
        <f t="shared" si="19"/>
        <v>-15.950000000000001</v>
      </c>
      <c r="V217" s="45">
        <f t="shared" si="20"/>
        <v>-0.5</v>
      </c>
    </row>
    <row r="218" spans="1:22" x14ac:dyDescent="0.2">
      <c r="A218" s="3">
        <v>702102</v>
      </c>
      <c r="B218" s="3" t="s">
        <v>348</v>
      </c>
      <c r="C218" s="57">
        <v>773155</v>
      </c>
      <c r="D218" s="57" t="s">
        <v>200</v>
      </c>
      <c r="E218" s="22"/>
      <c r="F218" s="22"/>
      <c r="G218" s="22"/>
      <c r="H218" s="22"/>
      <c r="I218" s="22"/>
      <c r="J218" s="22">
        <v>312</v>
      </c>
      <c r="K218" s="22">
        <v>2046.75</v>
      </c>
      <c r="L218" s="22"/>
      <c r="M218" s="22"/>
      <c r="N218" s="22"/>
      <c r="O218" s="22"/>
      <c r="P218" s="22"/>
      <c r="Q218" s="22"/>
      <c r="R218" s="22"/>
      <c r="S218" s="22"/>
      <c r="T218" s="22"/>
      <c r="U218" s="16">
        <f t="shared" si="19"/>
        <v>0</v>
      </c>
      <c r="V218" s="45" t="e">
        <f t="shared" si="20"/>
        <v>#DIV/0!</v>
      </c>
    </row>
    <row r="219" spans="1:22" x14ac:dyDescent="0.2">
      <c r="A219" s="3">
        <v>702100</v>
      </c>
      <c r="B219" s="3" t="s">
        <v>347</v>
      </c>
      <c r="C219" s="57">
        <v>773160</v>
      </c>
      <c r="D219" s="57" t="s">
        <v>201</v>
      </c>
      <c r="E219" s="22"/>
      <c r="F219" s="22"/>
      <c r="G219" s="22"/>
      <c r="H219" s="22">
        <v>136793.25</v>
      </c>
      <c r="I219" s="22">
        <v>80649.5</v>
      </c>
      <c r="J219" s="22">
        <v>90819</v>
      </c>
      <c r="K219" s="22">
        <v>124357.5</v>
      </c>
      <c r="L219" s="22">
        <v>148027.5</v>
      </c>
      <c r="M219" s="22">
        <v>184815.74</v>
      </c>
      <c r="N219" s="43">
        <v>135235</v>
      </c>
      <c r="O219" s="42">
        <v>188793.2</v>
      </c>
      <c r="P219" s="42">
        <v>362980.44</v>
      </c>
      <c r="Q219" s="49">
        <v>301603.60000000003</v>
      </c>
      <c r="R219" s="39">
        <v>349994.33</v>
      </c>
      <c r="S219" s="41">
        <v>257706.99000000002</v>
      </c>
      <c r="T219" s="41">
        <v>107213.47</v>
      </c>
      <c r="U219" s="16">
        <f t="shared" ref="U219:U244" si="21">T219-S219</f>
        <v>-150493.52000000002</v>
      </c>
      <c r="V219" s="45">
        <f t="shared" ref="V219:V245" si="22">U219/S219</f>
        <v>-0.58397143205157143</v>
      </c>
    </row>
    <row r="220" spans="1:22" x14ac:dyDescent="0.2">
      <c r="A220" s="3">
        <v>707590</v>
      </c>
      <c r="B220" s="3" t="s">
        <v>415</v>
      </c>
      <c r="C220" s="1">
        <v>774120</v>
      </c>
      <c r="D220" s="1" t="s">
        <v>164</v>
      </c>
      <c r="E220" s="22">
        <v>1840</v>
      </c>
      <c r="F220" s="22"/>
      <c r="G220" s="22"/>
      <c r="H220" s="22"/>
      <c r="I220" s="22"/>
      <c r="J220" s="22"/>
      <c r="K220" s="22">
        <v>272.24</v>
      </c>
      <c r="L220" s="22">
        <v>468.58</v>
      </c>
      <c r="M220" s="22"/>
      <c r="N220" s="22"/>
      <c r="O220" s="42"/>
      <c r="P220" s="42"/>
      <c r="Q220" s="42"/>
      <c r="R220" s="42"/>
      <c r="S220" s="42"/>
      <c r="T220" s="42"/>
      <c r="U220" s="16">
        <f t="shared" si="21"/>
        <v>0</v>
      </c>
      <c r="V220" s="45" t="e">
        <f t="shared" si="22"/>
        <v>#DIV/0!</v>
      </c>
    </row>
    <row r="221" spans="1:22" x14ac:dyDescent="0.2">
      <c r="A221" s="3">
        <v>707506</v>
      </c>
      <c r="B221" s="3" t="s">
        <v>414</v>
      </c>
      <c r="C221" s="57">
        <v>774130</v>
      </c>
      <c r="D221" s="57" t="s">
        <v>202</v>
      </c>
      <c r="E221" s="22">
        <v>-15</v>
      </c>
      <c r="F221" s="22"/>
      <c r="G221" s="22">
        <v>-3500</v>
      </c>
      <c r="H221" s="22">
        <v>8500</v>
      </c>
      <c r="I221" s="22">
        <v>4178</v>
      </c>
      <c r="J221" s="22"/>
      <c r="K221" s="22"/>
      <c r="L221" s="22"/>
      <c r="M221" s="22"/>
      <c r="N221" s="22"/>
      <c r="O221" s="42">
        <v>2605.31</v>
      </c>
      <c r="P221" s="42">
        <v>20000</v>
      </c>
      <c r="Q221" s="42"/>
      <c r="R221" s="42"/>
      <c r="S221" s="42"/>
      <c r="T221" s="42"/>
      <c r="U221" s="16">
        <f t="shared" si="21"/>
        <v>0</v>
      </c>
      <c r="V221" s="45" t="e">
        <f t="shared" si="22"/>
        <v>#DIV/0!</v>
      </c>
    </row>
    <row r="222" spans="1:22" x14ac:dyDescent="0.2">
      <c r="A222" s="3">
        <v>708025</v>
      </c>
      <c r="B222" s="3" t="s">
        <v>448</v>
      </c>
      <c r="C222" s="1">
        <v>781100</v>
      </c>
      <c r="D222" s="1" t="s">
        <v>165</v>
      </c>
      <c r="E222" s="22">
        <v>16228.360000000002</v>
      </c>
      <c r="F222" s="22">
        <v>7938.6900000000005</v>
      </c>
      <c r="G222" s="22">
        <v>3720.8199999999997</v>
      </c>
      <c r="H222" s="22">
        <v>1149.97</v>
      </c>
      <c r="I222" s="22"/>
      <c r="J222" s="22"/>
      <c r="K222" s="22"/>
      <c r="L222" s="22"/>
      <c r="M222" s="22"/>
      <c r="N222" s="22"/>
      <c r="O222" s="22"/>
      <c r="P222" s="22">
        <v>1143.1000000000001</v>
      </c>
      <c r="Q222" s="22"/>
      <c r="R222" s="22"/>
      <c r="S222" s="22"/>
      <c r="T222" s="22"/>
      <c r="U222" s="16">
        <f t="shared" si="21"/>
        <v>0</v>
      </c>
      <c r="V222" s="45" t="e">
        <f t="shared" si="22"/>
        <v>#DIV/0!</v>
      </c>
    </row>
    <row r="223" spans="1:22" x14ac:dyDescent="0.2">
      <c r="A223" s="3">
        <v>708025</v>
      </c>
      <c r="B223" s="3" t="s">
        <v>448</v>
      </c>
      <c r="C223" s="57">
        <v>781105</v>
      </c>
      <c r="D223" s="57" t="s">
        <v>291</v>
      </c>
      <c r="E223" s="22">
        <v>54.43</v>
      </c>
      <c r="F223" s="22"/>
      <c r="G223" s="22"/>
      <c r="H223" s="22"/>
      <c r="I223" s="22"/>
      <c r="J223" s="22"/>
      <c r="K223" s="22"/>
      <c r="L223" s="22"/>
      <c r="M223" s="22"/>
      <c r="N223" s="22"/>
      <c r="O223" s="22"/>
      <c r="P223" s="22"/>
      <c r="Q223" s="22"/>
      <c r="R223" s="22"/>
      <c r="S223" s="22"/>
      <c r="T223" s="22"/>
      <c r="U223" s="16">
        <f t="shared" si="21"/>
        <v>0</v>
      </c>
      <c r="V223" s="45" t="e">
        <f t="shared" si="22"/>
        <v>#DIV/0!</v>
      </c>
    </row>
    <row r="224" spans="1:22" x14ac:dyDescent="0.2">
      <c r="A224" s="3">
        <v>708010</v>
      </c>
      <c r="B224" s="3" t="s">
        <v>449</v>
      </c>
      <c r="C224" s="57">
        <v>784102</v>
      </c>
      <c r="D224" s="57" t="s">
        <v>204</v>
      </c>
      <c r="E224" s="22">
        <v>22601</v>
      </c>
      <c r="F224" s="22">
        <v>1800</v>
      </c>
      <c r="G224" s="22">
        <v>49510.92</v>
      </c>
      <c r="H224" s="22">
        <v>63696.5</v>
      </c>
      <c r="I224" s="22">
        <v>15571.2</v>
      </c>
      <c r="J224" s="22">
        <v>71852.56</v>
      </c>
      <c r="K224" s="22">
        <v>4989.6900000000005</v>
      </c>
      <c r="L224" s="22">
        <v>81084</v>
      </c>
      <c r="M224" s="22">
        <v>4895</v>
      </c>
      <c r="N224" s="43">
        <v>22419</v>
      </c>
      <c r="O224" s="22"/>
      <c r="P224" s="22"/>
      <c r="Q224" s="22"/>
      <c r="R224" s="22"/>
      <c r="S224" s="22"/>
      <c r="T224" s="22"/>
      <c r="U224" s="16">
        <f t="shared" si="21"/>
        <v>0</v>
      </c>
      <c r="V224" s="45" t="e">
        <f t="shared" si="22"/>
        <v>#DIV/0!</v>
      </c>
    </row>
    <row r="225" spans="1:22" x14ac:dyDescent="0.2">
      <c r="A225" s="3">
        <v>708020</v>
      </c>
      <c r="B225" s="3" t="s">
        <v>205</v>
      </c>
      <c r="C225" s="57">
        <v>784201</v>
      </c>
      <c r="D225" s="57" t="s">
        <v>205</v>
      </c>
      <c r="E225" s="22">
        <v>44921.35</v>
      </c>
      <c r="F225" s="22"/>
      <c r="G225" s="22">
        <v>4538</v>
      </c>
      <c r="H225" s="22"/>
      <c r="I225" s="22"/>
      <c r="J225" s="22"/>
      <c r="K225" s="22"/>
      <c r="L225" s="22"/>
      <c r="M225" s="22"/>
      <c r="N225" s="43"/>
      <c r="O225" s="22"/>
      <c r="P225" s="22"/>
      <c r="Q225" s="22"/>
      <c r="R225" s="22"/>
      <c r="S225" s="22"/>
      <c r="T225" s="22"/>
      <c r="U225" s="16">
        <f t="shared" si="21"/>
        <v>0</v>
      </c>
      <c r="V225" s="45" t="e">
        <f t="shared" si="22"/>
        <v>#DIV/0!</v>
      </c>
    </row>
    <row r="226" spans="1:22" x14ac:dyDescent="0.2">
      <c r="A226" s="3">
        <v>708021</v>
      </c>
      <c r="B226" s="3" t="s">
        <v>417</v>
      </c>
      <c r="C226" s="1">
        <v>784202</v>
      </c>
      <c r="D226" s="1" t="s">
        <v>166</v>
      </c>
      <c r="E226" s="22">
        <v>321082.23</v>
      </c>
      <c r="F226" s="22">
        <v>206037.99000000002</v>
      </c>
      <c r="G226" s="22">
        <v>661843.07000000007</v>
      </c>
      <c r="H226" s="22">
        <v>468332.53</v>
      </c>
      <c r="I226" s="22">
        <v>83520.87</v>
      </c>
      <c r="J226" s="22">
        <v>163993.19</v>
      </c>
      <c r="K226" s="22">
        <v>134493.61000000002</v>
      </c>
      <c r="L226" s="22">
        <v>31854.560000000001</v>
      </c>
      <c r="M226" s="22">
        <v>67446.950000000012</v>
      </c>
      <c r="N226" s="43"/>
      <c r="O226" s="42">
        <v>26760</v>
      </c>
      <c r="P226" s="42">
        <v>197867.5</v>
      </c>
      <c r="Q226" s="42"/>
      <c r="R226" s="42"/>
      <c r="S226" s="42"/>
      <c r="T226" s="41">
        <v>73368.41</v>
      </c>
      <c r="U226" s="16">
        <f t="shared" si="21"/>
        <v>73368.41</v>
      </c>
      <c r="V226" s="45" t="e">
        <f t="shared" si="22"/>
        <v>#DIV/0!</v>
      </c>
    </row>
    <row r="227" spans="1:22" x14ac:dyDescent="0.2">
      <c r="A227" s="3">
        <v>708023</v>
      </c>
      <c r="B227" s="3" t="s">
        <v>418</v>
      </c>
      <c r="C227" s="1">
        <v>784203</v>
      </c>
      <c r="D227" s="1" t="s">
        <v>167</v>
      </c>
      <c r="E227" s="22">
        <v>91750.65</v>
      </c>
      <c r="F227" s="22">
        <v>14665</v>
      </c>
      <c r="G227" s="22">
        <v>6569.4000000000005</v>
      </c>
      <c r="H227" s="22">
        <v>36034.729999999996</v>
      </c>
      <c r="I227" s="22"/>
      <c r="J227" s="22"/>
      <c r="K227" s="22">
        <v>15021</v>
      </c>
      <c r="L227" s="22">
        <v>36949</v>
      </c>
      <c r="M227" s="22">
        <v>117690.7</v>
      </c>
      <c r="N227" s="43">
        <v>20321</v>
      </c>
      <c r="O227" s="42">
        <v>24910.93</v>
      </c>
      <c r="P227" s="42"/>
      <c r="Q227" s="42"/>
      <c r="R227" s="42"/>
      <c r="S227" s="42"/>
      <c r="T227" s="42"/>
      <c r="U227" s="16">
        <f t="shared" si="21"/>
        <v>0</v>
      </c>
      <c r="V227" s="45" t="e">
        <f t="shared" si="22"/>
        <v>#DIV/0!</v>
      </c>
    </row>
    <row r="228" spans="1:22" x14ac:dyDescent="0.2">
      <c r="A228" s="3">
        <v>708061</v>
      </c>
      <c r="B228" s="3" t="s">
        <v>422</v>
      </c>
      <c r="C228" s="1">
        <v>784302</v>
      </c>
      <c r="D228" s="1" t="s">
        <v>168</v>
      </c>
      <c r="E228" s="22"/>
      <c r="F228" s="22">
        <v>30143.440000000002</v>
      </c>
      <c r="G228" s="22">
        <v>7787.02</v>
      </c>
      <c r="H228" s="22">
        <v>30424.420000000002</v>
      </c>
      <c r="I228" s="22">
        <v>11490.380000000001</v>
      </c>
      <c r="J228" s="22">
        <v>5275.12</v>
      </c>
      <c r="K228" s="22">
        <v>10051.14</v>
      </c>
      <c r="L228" s="22">
        <v>2127.3000000000002</v>
      </c>
      <c r="M228" s="22"/>
      <c r="N228" s="22"/>
      <c r="O228" s="22"/>
      <c r="P228" s="22"/>
      <c r="Q228" s="22"/>
      <c r="R228" s="22"/>
      <c r="S228" s="22"/>
      <c r="T228" s="22"/>
      <c r="U228" s="16">
        <f t="shared" si="21"/>
        <v>0</v>
      </c>
      <c r="V228" s="45" t="e">
        <f t="shared" si="22"/>
        <v>#DIV/0!</v>
      </c>
    </row>
    <row r="229" spans="1:22" x14ac:dyDescent="0.2">
      <c r="A229" s="3">
        <v>708063</v>
      </c>
      <c r="B229" s="3" t="s">
        <v>423</v>
      </c>
      <c r="C229" s="1">
        <v>784304</v>
      </c>
      <c r="D229" s="1" t="s">
        <v>169</v>
      </c>
      <c r="E229" s="22">
        <v>20855.330000000002</v>
      </c>
      <c r="F229" s="22">
        <v>31721.079999999998</v>
      </c>
      <c r="G229" s="22">
        <v>26344.68</v>
      </c>
      <c r="H229" s="22">
        <v>14236.300000000001</v>
      </c>
      <c r="I229" s="22">
        <v>38869.520000000004</v>
      </c>
      <c r="J229" s="22">
        <v>26030.86</v>
      </c>
      <c r="K229" s="22">
        <v>6436.52</v>
      </c>
      <c r="L229" s="22">
        <v>11105.36</v>
      </c>
      <c r="M229" s="22">
        <v>3085.76</v>
      </c>
      <c r="N229" s="43">
        <v>2388.88</v>
      </c>
      <c r="O229" s="42">
        <v>15656.56</v>
      </c>
      <c r="P229" s="42">
        <v>10233.969999999999</v>
      </c>
      <c r="Q229" s="42"/>
      <c r="R229" s="42"/>
      <c r="S229" s="42"/>
      <c r="T229" s="42"/>
      <c r="U229" s="16">
        <f t="shared" si="21"/>
        <v>0</v>
      </c>
      <c r="V229" s="45" t="e">
        <f t="shared" si="22"/>
        <v>#DIV/0!</v>
      </c>
    </row>
    <row r="230" spans="1:22" x14ac:dyDescent="0.2">
      <c r="A230" s="3">
        <v>708060</v>
      </c>
      <c r="B230" s="3" t="s">
        <v>421</v>
      </c>
      <c r="C230" s="57">
        <v>784305</v>
      </c>
      <c r="D230" s="57" t="s">
        <v>207</v>
      </c>
      <c r="E230" s="22"/>
      <c r="F230" s="22"/>
      <c r="G230" s="22">
        <v>1730</v>
      </c>
      <c r="H230" s="22"/>
      <c r="I230" s="22"/>
      <c r="J230" s="22"/>
      <c r="K230" s="22"/>
      <c r="L230" s="22"/>
      <c r="M230" s="22"/>
      <c r="N230" s="22"/>
      <c r="O230" s="42"/>
      <c r="P230" s="42"/>
      <c r="Q230" s="42"/>
      <c r="R230" s="42"/>
      <c r="S230" s="42"/>
      <c r="T230" s="42"/>
      <c r="U230" s="16">
        <f t="shared" si="21"/>
        <v>0</v>
      </c>
      <c r="V230" s="45" t="e">
        <f t="shared" si="22"/>
        <v>#DIV/0!</v>
      </c>
    </row>
    <row r="231" spans="1:22" x14ac:dyDescent="0.2">
      <c r="A231" s="3">
        <v>708070</v>
      </c>
      <c r="B231" s="3" t="s">
        <v>424</v>
      </c>
      <c r="C231" s="57">
        <v>784306</v>
      </c>
      <c r="D231" s="57" t="s">
        <v>208</v>
      </c>
      <c r="E231" s="22">
        <v>29328</v>
      </c>
      <c r="F231" s="22"/>
      <c r="G231" s="22">
        <v>114797.96</v>
      </c>
      <c r="H231" s="22">
        <v>44729</v>
      </c>
      <c r="I231" s="22"/>
      <c r="J231" s="22"/>
      <c r="K231" s="22"/>
      <c r="L231" s="22"/>
      <c r="M231" s="22">
        <v>4550</v>
      </c>
      <c r="N231" s="43">
        <v>26927.600000000002</v>
      </c>
      <c r="O231" s="42">
        <v>3500</v>
      </c>
      <c r="P231" s="42"/>
      <c r="Q231" s="49">
        <v>8548</v>
      </c>
      <c r="R231" s="39">
        <v>49596</v>
      </c>
      <c r="S231" s="39"/>
      <c r="T231" s="39"/>
      <c r="U231" s="16">
        <f t="shared" si="21"/>
        <v>0</v>
      </c>
      <c r="V231" s="45" t="e">
        <f t="shared" si="22"/>
        <v>#DIV/0!</v>
      </c>
    </row>
    <row r="232" spans="1:22" x14ac:dyDescent="0.2">
      <c r="A232" s="3">
        <v>708030</v>
      </c>
      <c r="B232" s="3" t="s">
        <v>419</v>
      </c>
      <c r="C232" s="1">
        <v>784307</v>
      </c>
      <c r="D232" s="1" t="s">
        <v>170</v>
      </c>
      <c r="E232" s="22">
        <v>17067.45</v>
      </c>
      <c r="F232" s="22">
        <v>28981.8</v>
      </c>
      <c r="G232" s="22">
        <v>88249.44</v>
      </c>
      <c r="H232" s="22">
        <v>92819.530000000028</v>
      </c>
      <c r="I232" s="22">
        <v>21707.73</v>
      </c>
      <c r="J232" s="22">
        <v>9022.35</v>
      </c>
      <c r="K232" s="22">
        <v>6610.24</v>
      </c>
      <c r="L232" s="22">
        <v>9875</v>
      </c>
      <c r="M232" s="22">
        <v>1417.5</v>
      </c>
      <c r="N232" s="43">
        <v>8606.26</v>
      </c>
      <c r="Q232" s="49">
        <v>9197.5</v>
      </c>
      <c r="R232" s="49"/>
      <c r="S232" s="49"/>
      <c r="T232" s="49"/>
      <c r="U232" s="16">
        <f t="shared" si="21"/>
        <v>0</v>
      </c>
      <c r="V232" s="45" t="e">
        <f t="shared" si="22"/>
        <v>#DIV/0!</v>
      </c>
    </row>
    <row r="233" spans="1:22" x14ac:dyDescent="0.2">
      <c r="A233" s="3">
        <v>708060</v>
      </c>
      <c r="B233" s="3" t="s">
        <v>421</v>
      </c>
      <c r="C233" s="1">
        <v>784308</v>
      </c>
      <c r="D233" s="1" t="s">
        <v>171</v>
      </c>
      <c r="E233" s="22">
        <v>364039.79000000004</v>
      </c>
      <c r="F233" s="22">
        <v>72692.639999999999</v>
      </c>
      <c r="G233" s="22">
        <v>146799.88</v>
      </c>
      <c r="H233" s="22">
        <v>124197.29000000001</v>
      </c>
      <c r="I233" s="22">
        <v>121176.11</v>
      </c>
      <c r="J233" s="22">
        <v>55806.46</v>
      </c>
      <c r="K233" s="22">
        <v>23863.320000000003</v>
      </c>
      <c r="L233" s="22">
        <v>37629.78</v>
      </c>
      <c r="M233" s="22">
        <v>69635</v>
      </c>
      <c r="N233" s="43">
        <v>47144.03</v>
      </c>
      <c r="O233" s="42">
        <v>76326.28</v>
      </c>
      <c r="P233" s="42">
        <v>39291.11</v>
      </c>
      <c r="Q233" s="49">
        <v>7189</v>
      </c>
      <c r="R233" s="49"/>
      <c r="S233" s="49"/>
      <c r="T233" s="49"/>
      <c r="U233" s="16">
        <f t="shared" si="21"/>
        <v>0</v>
      </c>
      <c r="V233" s="45" t="e">
        <f t="shared" si="22"/>
        <v>#DIV/0!</v>
      </c>
    </row>
    <row r="234" spans="1:22" x14ac:dyDescent="0.2">
      <c r="A234" s="3">
        <v>708060</v>
      </c>
      <c r="B234" s="3" t="s">
        <v>421</v>
      </c>
      <c r="C234" s="57">
        <v>784309</v>
      </c>
      <c r="D234" s="57" t="s">
        <v>209</v>
      </c>
      <c r="E234" s="22"/>
      <c r="F234" s="22"/>
      <c r="G234" s="22"/>
      <c r="H234" s="22"/>
      <c r="I234" s="22"/>
      <c r="J234" s="22">
        <v>6556</v>
      </c>
      <c r="K234" s="22">
        <v>1313.68</v>
      </c>
      <c r="L234" s="22">
        <v>2949</v>
      </c>
      <c r="M234" s="22">
        <v>67230.78</v>
      </c>
      <c r="N234" s="43">
        <v>26629.7</v>
      </c>
      <c r="O234" s="42">
        <v>31132.89</v>
      </c>
      <c r="P234" s="42">
        <v>27707.119999999999</v>
      </c>
      <c r="Q234" s="49">
        <v>10767</v>
      </c>
      <c r="R234" s="49"/>
      <c r="S234" s="49"/>
      <c r="T234" s="49"/>
      <c r="U234" s="16">
        <f t="shared" si="21"/>
        <v>0</v>
      </c>
      <c r="V234" s="45" t="e">
        <f t="shared" si="22"/>
        <v>#DIV/0!</v>
      </c>
    </row>
    <row r="235" spans="1:22" x14ac:dyDescent="0.2">
      <c r="A235" s="3">
        <v>708040</v>
      </c>
      <c r="B235" s="3" t="s">
        <v>420</v>
      </c>
      <c r="C235" s="1">
        <v>784401</v>
      </c>
      <c r="D235" s="1" t="s">
        <v>172</v>
      </c>
      <c r="E235" s="22">
        <v>103927.15</v>
      </c>
      <c r="F235" s="22">
        <v>333413.10000000003</v>
      </c>
      <c r="G235" s="22">
        <v>891314.97</v>
      </c>
      <c r="H235" s="22">
        <v>584045.1</v>
      </c>
      <c r="I235" s="22">
        <v>352268.77</v>
      </c>
      <c r="J235" s="22">
        <v>244583.96</v>
      </c>
      <c r="K235" s="22">
        <v>222512.65000000002</v>
      </c>
      <c r="L235" s="22">
        <v>315731.3899999999</v>
      </c>
      <c r="M235" s="22">
        <v>600350.80999999994</v>
      </c>
      <c r="N235" s="43">
        <v>811303.36</v>
      </c>
      <c r="O235" s="42">
        <v>636796.42000000004</v>
      </c>
      <c r="P235" s="42">
        <v>209317.21</v>
      </c>
      <c r="Q235" s="49">
        <v>493883.02999999997</v>
      </c>
      <c r="R235" s="39">
        <v>1061246.23</v>
      </c>
      <c r="S235" s="41">
        <v>462638.74000000005</v>
      </c>
      <c r="T235" s="41">
        <v>1187327.76</v>
      </c>
      <c r="U235" s="16">
        <f t="shared" si="21"/>
        <v>724689.02</v>
      </c>
      <c r="V235" s="45">
        <f t="shared" si="22"/>
        <v>1.5664252846616347</v>
      </c>
    </row>
    <row r="236" spans="1:22" x14ac:dyDescent="0.2">
      <c r="A236" s="3">
        <v>708080</v>
      </c>
      <c r="B236" s="3" t="s">
        <v>451</v>
      </c>
      <c r="C236" s="1">
        <v>784402</v>
      </c>
      <c r="D236" s="1" t="s">
        <v>261</v>
      </c>
      <c r="E236" s="22"/>
      <c r="F236" s="22"/>
      <c r="G236" s="22"/>
      <c r="H236" s="22"/>
      <c r="I236" s="22"/>
      <c r="J236" s="22"/>
      <c r="K236" s="22"/>
      <c r="L236" s="22"/>
      <c r="M236" s="22"/>
      <c r="N236" s="43"/>
      <c r="O236" s="42">
        <v>570</v>
      </c>
      <c r="P236" s="42"/>
      <c r="Q236" s="42"/>
      <c r="R236" s="42"/>
      <c r="S236" s="41">
        <v>151716.94</v>
      </c>
      <c r="T236" s="41">
        <v>80630.59</v>
      </c>
      <c r="U236" s="16">
        <f t="shared" si="21"/>
        <v>-71086.350000000006</v>
      </c>
      <c r="V236" s="45">
        <f t="shared" si="22"/>
        <v>-0.46854589869793051</v>
      </c>
    </row>
    <row r="237" spans="1:22" x14ac:dyDescent="0.2">
      <c r="A237" s="3">
        <v>708060</v>
      </c>
      <c r="B237" s="3" t="s">
        <v>421</v>
      </c>
      <c r="C237" s="1">
        <v>784501</v>
      </c>
      <c r="D237" s="1" t="s">
        <v>173</v>
      </c>
      <c r="E237" s="22">
        <v>104766</v>
      </c>
      <c r="F237" s="22">
        <v>635548.80000000005</v>
      </c>
      <c r="G237" s="22">
        <v>407624.61</v>
      </c>
      <c r="H237" s="22">
        <v>534856.93999999994</v>
      </c>
      <c r="I237" s="22">
        <v>92491.12</v>
      </c>
      <c r="J237" s="22">
        <v>13032.8</v>
      </c>
      <c r="K237" s="22">
        <v>5374.75</v>
      </c>
      <c r="L237" s="22">
        <v>3293.2000000000003</v>
      </c>
      <c r="M237" s="22">
        <v>3207.58</v>
      </c>
      <c r="N237" s="43">
        <v>42114.32</v>
      </c>
      <c r="O237" s="42">
        <v>30545.54</v>
      </c>
      <c r="P237" s="42">
        <v>14027.46</v>
      </c>
      <c r="Q237" s="49">
        <v>240165.18</v>
      </c>
      <c r="R237" s="39">
        <v>529040.22</v>
      </c>
      <c r="S237" s="41">
        <v>619790.82000000007</v>
      </c>
      <c r="T237" s="41">
        <v>358497.41000000003</v>
      </c>
      <c r="U237" s="16">
        <f t="shared" si="21"/>
        <v>-261293.41000000003</v>
      </c>
      <c r="V237" s="45">
        <f t="shared" si="22"/>
        <v>-0.42158322060981801</v>
      </c>
    </row>
    <row r="238" spans="1:22" x14ac:dyDescent="0.2">
      <c r="A238" s="3">
        <v>708101</v>
      </c>
      <c r="B238" s="3" t="s">
        <v>425</v>
      </c>
      <c r="C238" s="57">
        <v>784502</v>
      </c>
      <c r="D238" s="57" t="s">
        <v>210</v>
      </c>
      <c r="E238" s="22"/>
      <c r="F238" s="22">
        <v>6573.18</v>
      </c>
      <c r="G238" s="22"/>
      <c r="H238" s="22"/>
      <c r="I238" s="22"/>
      <c r="J238" s="22"/>
      <c r="K238" s="22"/>
      <c r="L238" s="22"/>
      <c r="M238" s="22"/>
      <c r="N238" s="22"/>
      <c r="O238" s="22"/>
      <c r="P238" s="22"/>
      <c r="Q238" s="22"/>
      <c r="R238" s="22"/>
      <c r="S238" s="22"/>
      <c r="T238" s="22"/>
      <c r="U238" s="16">
        <f t="shared" si="21"/>
        <v>0</v>
      </c>
      <c r="V238" s="45" t="e">
        <f t="shared" si="22"/>
        <v>#DIV/0!</v>
      </c>
    </row>
    <row r="239" spans="1:22" x14ac:dyDescent="0.2">
      <c r="A239" s="3">
        <v>708040</v>
      </c>
      <c r="B239" s="3" t="s">
        <v>420</v>
      </c>
      <c r="C239" s="57">
        <v>784601</v>
      </c>
      <c r="D239" s="57" t="s">
        <v>292</v>
      </c>
      <c r="E239" s="22"/>
      <c r="F239" s="22">
        <v>31086</v>
      </c>
      <c r="G239" s="22"/>
      <c r="H239" s="22"/>
      <c r="I239" s="22">
        <v>14331.34</v>
      </c>
      <c r="J239" s="22">
        <v>60627.41</v>
      </c>
      <c r="K239" s="22"/>
      <c r="L239" s="22"/>
      <c r="M239" s="22"/>
      <c r="N239" s="43">
        <v>17055.239999999998</v>
      </c>
      <c r="O239" s="22"/>
      <c r="P239" s="22"/>
      <c r="Q239" s="22"/>
      <c r="R239" s="22"/>
      <c r="S239" s="22"/>
      <c r="T239" s="22"/>
      <c r="U239" s="16">
        <f t="shared" si="21"/>
        <v>0</v>
      </c>
      <c r="V239" s="45" t="e">
        <f t="shared" si="22"/>
        <v>#DIV/0!</v>
      </c>
    </row>
    <row r="240" spans="1:22" x14ac:dyDescent="0.2">
      <c r="A240" s="3">
        <v>708024</v>
      </c>
      <c r="B240" s="3" t="s">
        <v>452</v>
      </c>
      <c r="C240" s="57">
        <v>784603</v>
      </c>
      <c r="D240" s="57" t="s">
        <v>293</v>
      </c>
      <c r="E240" s="22"/>
      <c r="F240" s="22">
        <v>4859.25</v>
      </c>
      <c r="G240" s="22"/>
      <c r="H240" s="22"/>
      <c r="I240" s="22"/>
      <c r="J240" s="22"/>
      <c r="K240" s="22"/>
      <c r="L240" s="22"/>
      <c r="M240" s="22"/>
      <c r="N240" s="43">
        <v>33082.380000000005</v>
      </c>
      <c r="O240" s="22"/>
      <c r="P240" s="22"/>
      <c r="Q240" s="22"/>
      <c r="R240" s="22"/>
      <c r="S240" s="22"/>
      <c r="T240" s="22"/>
      <c r="U240" s="16">
        <f t="shared" si="21"/>
        <v>0</v>
      </c>
      <c r="V240" s="45" t="e">
        <f t="shared" si="22"/>
        <v>#DIV/0!</v>
      </c>
    </row>
    <row r="241" spans="1:22" x14ac:dyDescent="0.2">
      <c r="A241" s="3">
        <v>708021</v>
      </c>
      <c r="B241" s="3" t="s">
        <v>417</v>
      </c>
      <c r="C241" s="1">
        <v>784604</v>
      </c>
      <c r="D241" s="1" t="s">
        <v>174</v>
      </c>
      <c r="E241" s="22"/>
      <c r="F241" s="22"/>
      <c r="G241" s="22">
        <v>47188.229999999996</v>
      </c>
      <c r="H241" s="22"/>
      <c r="I241" s="22">
        <v>47979</v>
      </c>
      <c r="J241" s="22">
        <v>12302.01</v>
      </c>
      <c r="K241" s="22"/>
      <c r="L241" s="22">
        <v>6576.7300000000005</v>
      </c>
      <c r="M241" s="22">
        <v>72260.28</v>
      </c>
      <c r="N241" s="43">
        <v>6730</v>
      </c>
      <c r="O241" s="22"/>
      <c r="P241" s="22"/>
      <c r="Q241" s="22"/>
      <c r="R241" s="22"/>
      <c r="S241" s="22"/>
      <c r="T241" s="22"/>
      <c r="U241" s="16">
        <f t="shared" si="21"/>
        <v>0</v>
      </c>
      <c r="V241" s="45" t="e">
        <f t="shared" si="22"/>
        <v>#DIV/0!</v>
      </c>
    </row>
    <row r="242" spans="1:22" x14ac:dyDescent="0.2">
      <c r="A242" s="3">
        <v>801000</v>
      </c>
      <c r="B242" s="3" t="s">
        <v>456</v>
      </c>
      <c r="C242" s="1">
        <v>811100</v>
      </c>
      <c r="D242" s="1" t="s">
        <v>273</v>
      </c>
      <c r="E242" s="22"/>
      <c r="F242" s="22"/>
      <c r="G242" s="22"/>
      <c r="H242" s="22"/>
      <c r="I242" s="22">
        <v>-16100</v>
      </c>
      <c r="J242" s="22"/>
      <c r="K242" s="22"/>
      <c r="L242" s="22"/>
      <c r="M242" s="22"/>
      <c r="N242" s="22"/>
      <c r="O242" s="22"/>
      <c r="P242" s="22"/>
      <c r="Q242" s="22"/>
      <c r="R242" s="22"/>
      <c r="S242" s="22"/>
      <c r="T242" s="22"/>
      <c r="U242" s="16">
        <f t="shared" si="21"/>
        <v>0</v>
      </c>
      <c r="V242" s="45" t="e">
        <f t="shared" si="22"/>
        <v>#DIV/0!</v>
      </c>
    </row>
    <row r="243" spans="1:22" x14ac:dyDescent="0.2">
      <c r="A243" s="3">
        <v>802000</v>
      </c>
      <c r="B243" s="3" t="s">
        <v>469</v>
      </c>
      <c r="C243" s="1">
        <v>821100</v>
      </c>
      <c r="D243" s="1" t="s">
        <v>470</v>
      </c>
      <c r="E243" s="22"/>
      <c r="F243" s="22"/>
      <c r="G243" s="22"/>
      <c r="H243" s="22"/>
      <c r="I243" s="22"/>
      <c r="J243" s="22"/>
      <c r="K243" s="22"/>
      <c r="L243" s="22"/>
      <c r="M243" s="22"/>
      <c r="N243" s="22"/>
      <c r="O243" s="22"/>
      <c r="P243" s="22"/>
      <c r="Q243" s="22"/>
      <c r="R243" s="22">
        <v>995558</v>
      </c>
      <c r="S243" s="22">
        <v>1036586</v>
      </c>
      <c r="T243" s="22"/>
      <c r="U243" s="16">
        <f t="shared" si="21"/>
        <v>-1036586</v>
      </c>
      <c r="V243" s="45">
        <f t="shared" si="22"/>
        <v>-1</v>
      </c>
    </row>
    <row r="244" spans="1:22" x14ac:dyDescent="0.2">
      <c r="C244" s="3" t="s">
        <v>234</v>
      </c>
      <c r="D244" s="3" t="s">
        <v>235</v>
      </c>
      <c r="E244" s="2"/>
      <c r="F244" s="2"/>
      <c r="G244" s="2"/>
      <c r="H244" s="2"/>
      <c r="I244" s="2">
        <v>772344.84</v>
      </c>
      <c r="J244" s="2">
        <v>1045770.18</v>
      </c>
      <c r="K244" s="2">
        <v>278418.53000000003</v>
      </c>
      <c r="L244" s="2">
        <v>649126.03</v>
      </c>
      <c r="M244" s="2">
        <v>142089.35999999999</v>
      </c>
      <c r="N244" s="2">
        <v>362426.64</v>
      </c>
      <c r="O244" s="2">
        <v>413619.28</v>
      </c>
      <c r="P244" s="2">
        <v>22706.69</v>
      </c>
      <c r="Q244" s="2"/>
      <c r="R244" s="2"/>
      <c r="S244" s="2"/>
      <c r="T244" s="2"/>
      <c r="U244" s="16">
        <f t="shared" si="21"/>
        <v>0</v>
      </c>
      <c r="V244" s="45" t="e">
        <f t="shared" si="22"/>
        <v>#DIV/0!</v>
      </c>
    </row>
    <row r="245" spans="1:22" x14ac:dyDescent="0.2">
      <c r="D245" s="5" t="s">
        <v>233</v>
      </c>
      <c r="E245" s="11">
        <f>SUM(E91:E244)</f>
        <v>5815405.5100000016</v>
      </c>
      <c r="F245" s="11">
        <f t="shared" ref="F245:U245" si="23">SUM(F91:F244)</f>
        <v>6618193.6600000011</v>
      </c>
      <c r="G245" s="11">
        <f t="shared" si="23"/>
        <v>8131250.2700000005</v>
      </c>
      <c r="H245" s="11">
        <f t="shared" si="23"/>
        <v>6708780.709999999</v>
      </c>
      <c r="I245" s="11">
        <f t="shared" si="23"/>
        <v>6006220.9800000014</v>
      </c>
      <c r="J245" s="11">
        <f t="shared" si="23"/>
        <v>6159025.8699999992</v>
      </c>
      <c r="K245" s="11">
        <f t="shared" si="23"/>
        <v>4670471.8300000019</v>
      </c>
      <c r="L245" s="11">
        <f t="shared" si="23"/>
        <v>5355189.68</v>
      </c>
      <c r="M245" s="11">
        <f t="shared" si="23"/>
        <v>5369960.9900000012</v>
      </c>
      <c r="N245" s="11">
        <f t="shared" si="23"/>
        <v>5350712.3100000005</v>
      </c>
      <c r="O245" s="11">
        <f t="shared" si="23"/>
        <v>5616297.839999998</v>
      </c>
      <c r="P245" s="11">
        <f t="shared" si="23"/>
        <v>4665982.92</v>
      </c>
      <c r="Q245" s="11">
        <f t="shared" si="23"/>
        <v>5048957.41</v>
      </c>
      <c r="R245" s="11">
        <f t="shared" si="23"/>
        <v>7138169.79</v>
      </c>
      <c r="S245" s="11">
        <f t="shared" si="23"/>
        <v>6879533.3300000001</v>
      </c>
      <c r="T245" s="11">
        <f t="shared" ref="T245" si="24">SUM(T91:T244)</f>
        <v>8583463.7699999996</v>
      </c>
      <c r="U245" s="20">
        <f t="shared" si="23"/>
        <v>1703930.4399999995</v>
      </c>
      <c r="V245" s="45">
        <f t="shared" si="22"/>
        <v>0.24768110833471307</v>
      </c>
    </row>
    <row r="246" spans="1:22" x14ac:dyDescent="0.2"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S246" s="4"/>
      <c r="T246" s="4"/>
      <c r="U246" s="16"/>
      <c r="V246" s="45"/>
    </row>
    <row r="247" spans="1:22" x14ac:dyDescent="0.2">
      <c r="C247" s="3" t="s">
        <v>218</v>
      </c>
      <c r="E247" s="4"/>
      <c r="F247" s="4"/>
      <c r="G247" s="4"/>
      <c r="H247" s="4"/>
      <c r="I247" s="4">
        <v>3778059.88</v>
      </c>
      <c r="J247" s="4">
        <v>4026549.66</v>
      </c>
      <c r="K247" s="4">
        <v>3181623.74</v>
      </c>
      <c r="L247" s="4">
        <v>3457060.98</v>
      </c>
      <c r="M247" s="4">
        <v>3563617.59</v>
      </c>
      <c r="N247" s="4">
        <f t="shared" ref="N247:S247" si="25">N11</f>
        <v>3762113.66</v>
      </c>
      <c r="O247" s="4">
        <f t="shared" si="25"/>
        <v>2985287.61</v>
      </c>
      <c r="P247" s="4">
        <f t="shared" si="25"/>
        <v>3147133.9</v>
      </c>
      <c r="Q247" s="4">
        <f t="shared" si="25"/>
        <v>4125785.03</v>
      </c>
      <c r="R247" s="4">
        <f t="shared" si="25"/>
        <v>4220874.7699999996</v>
      </c>
      <c r="S247" s="4">
        <f t="shared" si="25"/>
        <v>2459665.0099999998</v>
      </c>
      <c r="T247" s="4">
        <f t="shared" ref="T247" si="26">T11</f>
        <v>2791642.65</v>
      </c>
      <c r="U247" s="16">
        <f t="shared" ref="U247" si="27">T247-S247</f>
        <v>331977.64000000013</v>
      </c>
      <c r="V247" s="45">
        <f t="shared" ref="V247" si="28">U247/S247</f>
        <v>0.13496863948965154</v>
      </c>
    </row>
    <row r="248" spans="1:22" x14ac:dyDescent="0.2"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S248" s="4"/>
      <c r="T248" s="4"/>
      <c r="U248" s="16"/>
      <c r="V248" s="45"/>
    </row>
    <row r="249" spans="1:22" x14ac:dyDescent="0.2">
      <c r="C249" s="3" t="s">
        <v>219</v>
      </c>
      <c r="E249" s="4"/>
      <c r="F249" s="4"/>
      <c r="G249" s="4"/>
      <c r="H249" s="4"/>
      <c r="I249" s="4">
        <v>2220599.94</v>
      </c>
      <c r="J249" s="4">
        <v>2227422.58</v>
      </c>
      <c r="K249" s="4">
        <v>2200041.9</v>
      </c>
      <c r="L249" s="4">
        <v>2246661.3199999998</v>
      </c>
      <c r="M249" s="4">
        <v>2562581.87</v>
      </c>
      <c r="N249" s="4">
        <f t="shared" ref="N249:S249" si="29">N12</f>
        <v>2592212.64</v>
      </c>
      <c r="O249" s="4">
        <f t="shared" si="29"/>
        <v>2947895.35</v>
      </c>
      <c r="P249" s="4">
        <f t="shared" si="29"/>
        <v>2988981.41</v>
      </c>
      <c r="Q249" s="4">
        <f t="shared" si="29"/>
        <v>2863970.86</v>
      </c>
      <c r="R249" s="4">
        <f t="shared" si="29"/>
        <v>2360568.4</v>
      </c>
      <c r="S249" s="4">
        <f t="shared" si="29"/>
        <v>2214743.85</v>
      </c>
      <c r="T249" s="4">
        <f t="shared" ref="T249" si="30">T12</f>
        <v>2222278.65</v>
      </c>
      <c r="U249" s="16">
        <f t="shared" ref="U249" si="31">T249-S249</f>
        <v>7534.7999999998137</v>
      </c>
      <c r="V249" s="45">
        <f t="shared" ref="V249" si="32">U249/S249</f>
        <v>3.4021090068722002E-3</v>
      </c>
    </row>
    <row r="250" spans="1:22" x14ac:dyDescent="0.2"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S250" s="4"/>
      <c r="T250" s="4"/>
      <c r="U250" s="16"/>
      <c r="V250" s="45"/>
    </row>
    <row r="251" spans="1:22" ht="13.5" thickBot="1" x14ac:dyDescent="0.25">
      <c r="D251" s="14" t="s">
        <v>2</v>
      </c>
      <c r="E251" s="10">
        <f>E90+E245+SUM(E246:E250)</f>
        <v>21783922.200000003</v>
      </c>
      <c r="F251" s="10">
        <f t="shared" ref="F251:U251" si="33">F90+F245+SUM(F246:F250)</f>
        <v>23565046.259999998</v>
      </c>
      <c r="G251" s="10">
        <f t="shared" si="33"/>
        <v>26001118.330000002</v>
      </c>
      <c r="H251" s="10">
        <f t="shared" si="33"/>
        <v>25428204.009999998</v>
      </c>
      <c r="I251" s="10">
        <f t="shared" si="33"/>
        <v>30596156.029999997</v>
      </c>
      <c r="J251" s="10">
        <f t="shared" si="33"/>
        <v>31715375.149999999</v>
      </c>
      <c r="K251" s="10">
        <f t="shared" si="33"/>
        <v>29534207.970000003</v>
      </c>
      <c r="L251" s="10">
        <f t="shared" si="33"/>
        <v>30974038.540000003</v>
      </c>
      <c r="M251" s="10">
        <f t="shared" si="33"/>
        <v>33900029.129999995</v>
      </c>
      <c r="N251" s="10">
        <f t="shared" si="33"/>
        <v>36416254.359999999</v>
      </c>
      <c r="O251" s="10">
        <f t="shared" si="33"/>
        <v>38464136.359999999</v>
      </c>
      <c r="P251" s="10">
        <f t="shared" si="33"/>
        <v>37328379.100000001</v>
      </c>
      <c r="Q251" s="10">
        <f t="shared" si="33"/>
        <v>38539028.839999996</v>
      </c>
      <c r="R251" s="10">
        <f t="shared" si="33"/>
        <v>36448370.82</v>
      </c>
      <c r="S251" s="10">
        <f t="shared" si="33"/>
        <v>34508728.199999996</v>
      </c>
      <c r="T251" s="10">
        <f t="shared" si="33"/>
        <v>38093049.649999999</v>
      </c>
      <c r="U251" s="21">
        <f t="shared" si="33"/>
        <v>3584321.4499999997</v>
      </c>
      <c r="V251" s="45">
        <f t="shared" ref="V251" si="34">U251/S251</f>
        <v>0.10386709788974489</v>
      </c>
    </row>
    <row r="252" spans="1:22" ht="13.5" thickTop="1" x14ac:dyDescent="0.2"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S252" s="4"/>
      <c r="T252" s="4"/>
    </row>
    <row r="253" spans="1:22" x14ac:dyDescent="0.2">
      <c r="C253" s="3" t="s">
        <v>220</v>
      </c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S253" s="4"/>
      <c r="T253" s="4"/>
    </row>
    <row r="254" spans="1:22" x14ac:dyDescent="0.2">
      <c r="C254" s="3" t="s">
        <v>221</v>
      </c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S254" s="4"/>
      <c r="T254" s="4"/>
    </row>
    <row r="255" spans="1:22" x14ac:dyDescent="0.2"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S255" s="4"/>
      <c r="T255" s="4"/>
    </row>
    <row r="256" spans="1:22" x14ac:dyDescent="0.2"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</row>
    <row r="257" spans="3:20" x14ac:dyDescent="0.2">
      <c r="C257" s="12" t="s">
        <v>482</v>
      </c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S257" s="4"/>
      <c r="T257" s="4"/>
    </row>
  </sheetData>
  <phoneticPr fontId="10" type="noConversion"/>
  <pageMargins left="0" right="0" top="0" bottom="0.5" header="0" footer="0"/>
  <pageSetup paperSize="5" scale="90" fitToHeight="20" orientation="landscape" r:id="rId1"/>
  <headerFooter>
    <oddFooter>&amp;R&amp;8Page &amp;P of &amp;N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244"/>
  <sheetViews>
    <sheetView zoomScaleNormal="100" workbookViewId="0">
      <pane xSplit="4" ySplit="7" topLeftCell="R218" activePane="bottomRight" state="frozen"/>
      <selection pane="topRight" activeCell="C1" sqref="C1"/>
      <selection pane="bottomLeft" activeCell="A8" sqref="A8"/>
      <selection pane="bottomRight" activeCell="V226" sqref="V226"/>
    </sheetView>
  </sheetViews>
  <sheetFormatPr defaultColWidth="9.140625" defaultRowHeight="12.75" x14ac:dyDescent="0.2"/>
  <cols>
    <col min="1" max="1" width="9.140625" style="3"/>
    <col min="2" max="2" width="36.85546875" style="3" bestFit="1" customWidth="1"/>
    <col min="3" max="3" width="8.85546875" style="3" customWidth="1"/>
    <col min="4" max="4" width="35.7109375" style="3" bestFit="1" customWidth="1"/>
    <col min="5" max="8" width="14" style="3" bestFit="1" customWidth="1"/>
    <col min="9" max="13" width="14.5703125" style="3" bestFit="1" customWidth="1"/>
    <col min="14" max="20" width="14.5703125" style="3" customWidth="1"/>
    <col min="21" max="21" width="14.7109375" style="3" customWidth="1"/>
    <col min="22" max="22" width="13.5703125" style="44" customWidth="1"/>
    <col min="23" max="16384" width="9.140625" style="3"/>
  </cols>
  <sheetData>
    <row r="1" spans="1:22" x14ac:dyDescent="0.2">
      <c r="C1" s="3" t="s">
        <v>0</v>
      </c>
    </row>
    <row r="2" spans="1:22" x14ac:dyDescent="0.2">
      <c r="C2" s="3" t="s">
        <v>225</v>
      </c>
    </row>
    <row r="3" spans="1:22" x14ac:dyDescent="0.2">
      <c r="C3" s="3" t="s">
        <v>237</v>
      </c>
    </row>
    <row r="4" spans="1:22" x14ac:dyDescent="0.2">
      <c r="C4" s="3" t="s">
        <v>493</v>
      </c>
    </row>
    <row r="7" spans="1:22" ht="25.5" x14ac:dyDescent="0.2">
      <c r="C7" s="8" t="s">
        <v>247</v>
      </c>
      <c r="D7" s="8"/>
      <c r="E7" s="9" t="s">
        <v>3</v>
      </c>
      <c r="F7" s="9" t="s">
        <v>4</v>
      </c>
      <c r="G7" s="9" t="s">
        <v>5</v>
      </c>
      <c r="H7" s="9" t="s">
        <v>6</v>
      </c>
      <c r="I7" s="9" t="s">
        <v>7</v>
      </c>
      <c r="J7" s="9" t="s">
        <v>8</v>
      </c>
      <c r="K7" s="9" t="s">
        <v>9</v>
      </c>
      <c r="L7" s="9" t="s">
        <v>10</v>
      </c>
      <c r="M7" s="9" t="s">
        <v>236</v>
      </c>
      <c r="N7" s="9" t="s">
        <v>305</v>
      </c>
      <c r="O7" s="9" t="s">
        <v>306</v>
      </c>
      <c r="P7" s="9" t="s">
        <v>309</v>
      </c>
      <c r="Q7" s="9" t="s">
        <v>314</v>
      </c>
      <c r="R7" s="9" t="s">
        <v>462</v>
      </c>
      <c r="S7" s="9" t="s">
        <v>474</v>
      </c>
      <c r="T7" s="9" t="s">
        <v>494</v>
      </c>
      <c r="U7" s="76" t="s">
        <v>495</v>
      </c>
      <c r="V7" s="9" t="s">
        <v>228</v>
      </c>
    </row>
    <row r="8" spans="1:22" x14ac:dyDescent="0.2">
      <c r="U8" s="15"/>
    </row>
    <row r="9" spans="1:22" x14ac:dyDescent="0.2">
      <c r="C9" s="3" t="s">
        <v>213</v>
      </c>
      <c r="E9" s="4">
        <v>7435844.6200000001</v>
      </c>
      <c r="F9" s="4">
        <v>7679156.0700000003</v>
      </c>
      <c r="G9" s="4">
        <v>8285117.2800000003</v>
      </c>
      <c r="H9" s="4">
        <v>8980027.0099999998</v>
      </c>
      <c r="I9" s="4">
        <v>7858815.8899999997</v>
      </c>
      <c r="J9" s="4">
        <v>8480896.6300000008</v>
      </c>
      <c r="K9" s="4">
        <v>8501404.9000000004</v>
      </c>
      <c r="L9" s="4">
        <v>8945511.7599999998</v>
      </c>
      <c r="M9" s="4">
        <v>9297631.2100000009</v>
      </c>
      <c r="N9" s="4">
        <v>9481280.8300000001</v>
      </c>
      <c r="O9" s="4">
        <v>10268068.83</v>
      </c>
      <c r="P9" s="4">
        <v>9849879.1999999993</v>
      </c>
      <c r="Q9" s="4">
        <v>9575170.3599999994</v>
      </c>
      <c r="R9" s="4">
        <f>9406059.41+8526834.8</f>
        <v>17932894.210000001</v>
      </c>
      <c r="S9" s="4">
        <f>10129536.03+9305655.86</f>
        <v>19435191.890000001</v>
      </c>
      <c r="T9" s="4">
        <f>9908279.59+9295495.32</f>
        <v>19203774.91</v>
      </c>
      <c r="U9" s="16">
        <f>T9-S9</f>
        <v>-231416.98000000045</v>
      </c>
      <c r="V9" s="45">
        <f>U9/S9</f>
        <v>-1.190711063259795E-2</v>
      </c>
    </row>
    <row r="10" spans="1:22" x14ac:dyDescent="0.2">
      <c r="C10" s="3" t="s">
        <v>1</v>
      </c>
      <c r="E10" s="4">
        <v>18031207.760000002</v>
      </c>
      <c r="F10" s="4">
        <v>18123036</v>
      </c>
      <c r="G10" s="4">
        <v>18202621.16</v>
      </c>
      <c r="H10" s="4">
        <v>19101334.91</v>
      </c>
      <c r="I10" s="4">
        <v>14443780.74</v>
      </c>
      <c r="J10" s="4">
        <v>15760385.35</v>
      </c>
      <c r="K10" s="4">
        <v>10827387.140000001</v>
      </c>
      <c r="L10" s="4">
        <v>12305757.529999999</v>
      </c>
      <c r="M10" s="4">
        <v>12078393.65</v>
      </c>
      <c r="N10" s="4">
        <v>13174991.74</v>
      </c>
      <c r="O10" s="4">
        <v>17946280.199999999</v>
      </c>
      <c r="P10" s="4">
        <v>19229152.899999999</v>
      </c>
      <c r="Q10" s="4">
        <v>24808324.600000001</v>
      </c>
      <c r="R10" s="4">
        <v>31160142.66</v>
      </c>
      <c r="S10" s="4">
        <f>18607287.19+9079423.99</f>
        <v>27686711.18</v>
      </c>
      <c r="T10" s="4">
        <f>19941921.21+7473391.5</f>
        <v>27415312.710000001</v>
      </c>
      <c r="U10" s="16">
        <f t="shared" ref="U10:U12" si="0">T10-S10</f>
        <v>-271398.46999999881</v>
      </c>
      <c r="V10" s="45">
        <f t="shared" ref="V10:V13" si="1">U10/S10</f>
        <v>-9.8024813505494454E-3</v>
      </c>
    </row>
    <row r="11" spans="1:22" x14ac:dyDescent="0.2">
      <c r="C11" s="3" t="s">
        <v>218</v>
      </c>
      <c r="E11" s="4"/>
      <c r="F11" s="4"/>
      <c r="G11" s="4"/>
      <c r="H11" s="4"/>
      <c r="I11" s="4">
        <v>-22302596.629999999</v>
      </c>
      <c r="J11" s="4">
        <v>-24241281.98</v>
      </c>
      <c r="K11" s="4">
        <v>-19328792.039999999</v>
      </c>
      <c r="L11" s="4">
        <v>-21251269.289999999</v>
      </c>
      <c r="M11" s="4">
        <v>-21376024.859999999</v>
      </c>
      <c r="N11" s="4">
        <v>-22656272.57</v>
      </c>
      <c r="O11" s="4">
        <f>-17946280.2+(-10268068.83)</f>
        <v>-28214349.030000001</v>
      </c>
      <c r="P11" s="4">
        <f>-9849879.2+(-19229152.9)</f>
        <v>-29079032.099999998</v>
      </c>
      <c r="Q11" s="4">
        <f>-9575170.36+(-24808324.6)</f>
        <v>-34383494.960000001</v>
      </c>
      <c r="R11" s="4">
        <f>-17932894.21+(-31160142.66)</f>
        <v>-49093036.870000005</v>
      </c>
      <c r="S11" s="4">
        <f>-19435191.89+(-27686711.18)</f>
        <v>-47121903.07</v>
      </c>
      <c r="T11" s="4">
        <f>-19203774.91+(-27415312.71)</f>
        <v>-46619087.620000005</v>
      </c>
      <c r="U11" s="16">
        <f t="shared" si="0"/>
        <v>502815.44999999553</v>
      </c>
      <c r="V11" s="45">
        <f t="shared" si="1"/>
        <v>-1.0670525111285484E-2</v>
      </c>
    </row>
    <row r="12" spans="1:22" x14ac:dyDescent="0.2">
      <c r="C12" s="3" t="s">
        <v>219</v>
      </c>
      <c r="E12" s="4"/>
      <c r="F12" s="4"/>
      <c r="G12" s="4"/>
      <c r="H12" s="4"/>
      <c r="I12" s="4"/>
      <c r="J12" s="4"/>
      <c r="K12" s="4"/>
      <c r="L12" s="4"/>
      <c r="M12" s="4">
        <v>0</v>
      </c>
      <c r="N12" s="4">
        <v>0</v>
      </c>
      <c r="O12" s="4"/>
      <c r="P12" s="4"/>
      <c r="Q12" s="4"/>
      <c r="R12" s="4"/>
      <c r="S12" s="4"/>
      <c r="T12" s="4"/>
      <c r="U12" s="16">
        <f t="shared" si="0"/>
        <v>0</v>
      </c>
      <c r="V12" s="45" t="e">
        <f t="shared" si="1"/>
        <v>#DIV/0!</v>
      </c>
    </row>
    <row r="13" spans="1:22" ht="13.5" thickBot="1" x14ac:dyDescent="0.25">
      <c r="C13" s="3" t="s">
        <v>2</v>
      </c>
      <c r="E13" s="10">
        <f t="shared" ref="E13:U13" si="2">SUM(E9:E12)</f>
        <v>25467052.380000003</v>
      </c>
      <c r="F13" s="10">
        <f t="shared" si="2"/>
        <v>25802192.07</v>
      </c>
      <c r="G13" s="10">
        <f t="shared" si="2"/>
        <v>26487738.440000001</v>
      </c>
      <c r="H13" s="10">
        <f t="shared" si="2"/>
        <v>28081361.920000002</v>
      </c>
      <c r="I13" s="10">
        <f t="shared" si="2"/>
        <v>0</v>
      </c>
      <c r="J13" s="10">
        <f t="shared" si="2"/>
        <v>0</v>
      </c>
      <c r="K13" s="10">
        <f t="shared" si="2"/>
        <v>0</v>
      </c>
      <c r="L13" s="10">
        <f t="shared" si="2"/>
        <v>0</v>
      </c>
      <c r="M13" s="10">
        <f t="shared" si="2"/>
        <v>0</v>
      </c>
      <c r="N13" s="10">
        <f t="shared" si="2"/>
        <v>0</v>
      </c>
      <c r="O13" s="10">
        <f t="shared" si="2"/>
        <v>0</v>
      </c>
      <c r="P13" s="10">
        <f t="shared" si="2"/>
        <v>0</v>
      </c>
      <c r="Q13" s="10">
        <f t="shared" si="2"/>
        <v>0</v>
      </c>
      <c r="R13" s="10">
        <f t="shared" si="2"/>
        <v>0</v>
      </c>
      <c r="S13" s="10">
        <f t="shared" si="2"/>
        <v>0</v>
      </c>
      <c r="T13" s="10">
        <f t="shared" si="2"/>
        <v>0</v>
      </c>
      <c r="U13" s="21">
        <f t="shared" si="2"/>
        <v>-3.7252902984619141E-9</v>
      </c>
      <c r="V13" s="45" t="e">
        <f t="shared" si="1"/>
        <v>#DIV/0!</v>
      </c>
    </row>
    <row r="14" spans="1:22" ht="13.5" thickTop="1" x14ac:dyDescent="0.2">
      <c r="U14" s="16"/>
    </row>
    <row r="15" spans="1:22" x14ac:dyDescent="0.2">
      <c r="C15" s="8" t="s">
        <v>246</v>
      </c>
      <c r="D15" s="8"/>
      <c r="E15" s="9" t="s">
        <v>3</v>
      </c>
      <c r="F15" s="9" t="s">
        <v>4</v>
      </c>
      <c r="G15" s="9" t="s">
        <v>5</v>
      </c>
      <c r="H15" s="9" t="s">
        <v>6</v>
      </c>
      <c r="I15" s="9" t="s">
        <v>7</v>
      </c>
      <c r="J15" s="9" t="s">
        <v>8</v>
      </c>
      <c r="K15" s="9" t="s">
        <v>9</v>
      </c>
      <c r="L15" s="9" t="s">
        <v>10</v>
      </c>
      <c r="M15" s="9" t="s">
        <v>236</v>
      </c>
      <c r="N15" s="9" t="s">
        <v>305</v>
      </c>
      <c r="O15" s="9" t="s">
        <v>306</v>
      </c>
      <c r="P15" s="9" t="s">
        <v>309</v>
      </c>
      <c r="Q15" s="9" t="s">
        <v>314</v>
      </c>
      <c r="R15" s="9" t="s">
        <v>462</v>
      </c>
      <c r="S15" s="9" t="s">
        <v>474</v>
      </c>
      <c r="T15" s="9" t="s">
        <v>494</v>
      </c>
      <c r="U15" s="16"/>
    </row>
    <row r="16" spans="1:22" x14ac:dyDescent="0.2">
      <c r="A16" s="65" t="s">
        <v>455</v>
      </c>
      <c r="B16" s="65"/>
      <c r="U16" s="16"/>
    </row>
    <row r="17" spans="1:22" x14ac:dyDescent="0.2">
      <c r="A17" s="66" t="s">
        <v>214</v>
      </c>
      <c r="B17" s="66" t="s">
        <v>454</v>
      </c>
      <c r="C17" s="9" t="s">
        <v>214</v>
      </c>
      <c r="D17" s="9" t="s">
        <v>215</v>
      </c>
      <c r="U17" s="16"/>
    </row>
    <row r="18" spans="1:22" x14ac:dyDescent="0.2">
      <c r="A18" s="3">
        <v>601000</v>
      </c>
      <c r="B18" s="3" t="s">
        <v>317</v>
      </c>
      <c r="C18" s="1">
        <v>611100</v>
      </c>
      <c r="D18" s="1" t="s">
        <v>11</v>
      </c>
      <c r="E18" s="22">
        <v>3902569.56</v>
      </c>
      <c r="F18" s="22">
        <v>3963222.0999999996</v>
      </c>
      <c r="G18" s="22">
        <v>4180428.4600000004</v>
      </c>
      <c r="H18" s="22">
        <v>4363605.3599999994</v>
      </c>
      <c r="I18" s="22">
        <v>3685733.3100000005</v>
      </c>
      <c r="J18" s="22">
        <v>3896555.54</v>
      </c>
      <c r="K18" s="22">
        <v>3896050.69</v>
      </c>
      <c r="L18" s="22">
        <v>3811646.5200000005</v>
      </c>
      <c r="M18" s="22">
        <v>3834966.4499999997</v>
      </c>
      <c r="N18" s="42">
        <v>3934884.5100000002</v>
      </c>
      <c r="O18" s="48">
        <v>4323506.53</v>
      </c>
      <c r="P18" s="48">
        <v>3986745.79</v>
      </c>
      <c r="Q18" s="49">
        <v>3869120.23</v>
      </c>
      <c r="R18" s="70">
        <v>7649182.8899999987</v>
      </c>
      <c r="S18" s="41">
        <v>8774515.25</v>
      </c>
      <c r="T18" s="41">
        <f>8781170.41</f>
        <v>8781170.4100000001</v>
      </c>
      <c r="U18" s="16">
        <f t="shared" ref="U18" si="3">T18-S18</f>
        <v>6655.160000000149</v>
      </c>
      <c r="V18" s="45">
        <f t="shared" ref="V18" si="4">U18/S18</f>
        <v>7.5846469125461359E-4</v>
      </c>
    </row>
    <row r="19" spans="1:22" x14ac:dyDescent="0.2">
      <c r="A19" s="3">
        <v>601000</v>
      </c>
      <c r="B19" s="3" t="s">
        <v>317</v>
      </c>
      <c r="C19" s="1">
        <v>611110</v>
      </c>
      <c r="D19" s="1" t="s">
        <v>12</v>
      </c>
      <c r="O19" s="48"/>
      <c r="P19" s="48"/>
      <c r="Q19" s="48"/>
      <c r="R19" s="48"/>
      <c r="S19" s="48"/>
      <c r="T19" s="48"/>
      <c r="U19" s="16"/>
      <c r="V19" s="45"/>
    </row>
    <row r="20" spans="1:22" x14ac:dyDescent="0.2">
      <c r="A20" s="3">
        <v>601000</v>
      </c>
      <c r="B20" s="3" t="s">
        <v>317</v>
      </c>
      <c r="C20" s="1">
        <v>611120</v>
      </c>
      <c r="D20" s="1" t="s">
        <v>13</v>
      </c>
      <c r="O20" s="48">
        <v>4000</v>
      </c>
      <c r="P20" s="48"/>
      <c r="Q20" s="48"/>
      <c r="R20" s="48"/>
      <c r="S20" s="48"/>
      <c r="T20" s="48"/>
      <c r="U20" s="16"/>
      <c r="V20" s="45"/>
    </row>
    <row r="21" spans="1:22" x14ac:dyDescent="0.2">
      <c r="A21" s="3">
        <v>601000</v>
      </c>
      <c r="B21" s="3" t="s">
        <v>317</v>
      </c>
      <c r="C21" s="1">
        <v>611130</v>
      </c>
      <c r="D21" s="1" t="s">
        <v>14</v>
      </c>
      <c r="O21" s="48"/>
      <c r="P21" s="48"/>
      <c r="Q21" s="48"/>
      <c r="R21" s="48"/>
      <c r="S21" s="48"/>
      <c r="T21" s="48"/>
      <c r="U21" s="16"/>
      <c r="V21" s="45"/>
    </row>
    <row r="22" spans="1:22" x14ac:dyDescent="0.2">
      <c r="A22" s="3">
        <v>601000</v>
      </c>
      <c r="B22" s="3" t="s">
        <v>317</v>
      </c>
      <c r="C22" s="1">
        <v>611140</v>
      </c>
      <c r="D22" s="1" t="s">
        <v>15</v>
      </c>
      <c r="E22" s="22">
        <v>305134.36</v>
      </c>
      <c r="F22" s="22">
        <v>477312.53</v>
      </c>
      <c r="G22" s="22">
        <v>601057.19999999995</v>
      </c>
      <c r="H22" s="22">
        <v>626990.65</v>
      </c>
      <c r="I22" s="22">
        <v>622979.74</v>
      </c>
      <c r="J22" s="22">
        <v>657845.91</v>
      </c>
      <c r="K22" s="22">
        <v>668688.03</v>
      </c>
      <c r="L22" s="22">
        <v>669353.32000000007</v>
      </c>
      <c r="M22" s="22">
        <v>645961.63</v>
      </c>
      <c r="N22" s="42">
        <v>534425.02</v>
      </c>
      <c r="O22" s="48">
        <v>629442.30999999994</v>
      </c>
      <c r="P22" s="48">
        <v>673929.53</v>
      </c>
      <c r="Q22" s="49">
        <v>637499.13</v>
      </c>
      <c r="R22" s="49"/>
      <c r="S22" s="49"/>
      <c r="T22" s="49"/>
      <c r="U22" s="16"/>
      <c r="V22" s="45"/>
    </row>
    <row r="23" spans="1:22" x14ac:dyDescent="0.2">
      <c r="A23" s="3">
        <v>601000</v>
      </c>
      <c r="B23" s="3" t="s">
        <v>317</v>
      </c>
      <c r="C23" s="1">
        <v>611150</v>
      </c>
      <c r="D23" s="1" t="s">
        <v>16</v>
      </c>
      <c r="E23" s="22">
        <v>16867.52</v>
      </c>
      <c r="F23" s="22">
        <v>17373.52</v>
      </c>
      <c r="G23" s="22">
        <v>19765.350000000002</v>
      </c>
      <c r="H23" s="22">
        <v>18253.05</v>
      </c>
      <c r="I23" s="22">
        <v>18042.45</v>
      </c>
      <c r="J23" s="22">
        <v>13870.18</v>
      </c>
      <c r="K23" s="22">
        <v>14032.09</v>
      </c>
      <c r="L23" s="22">
        <v>14032.08</v>
      </c>
      <c r="M23" s="22">
        <v>10851.64</v>
      </c>
      <c r="N23" s="42">
        <v>11177</v>
      </c>
      <c r="O23" s="48">
        <v>26605.31</v>
      </c>
      <c r="P23" s="48">
        <v>29206.39</v>
      </c>
      <c r="Q23" s="49">
        <v>23058.44</v>
      </c>
      <c r="R23" s="49"/>
      <c r="S23" s="49"/>
      <c r="T23" s="49"/>
      <c r="U23" s="16"/>
      <c r="V23" s="45"/>
    </row>
    <row r="24" spans="1:22" x14ac:dyDescent="0.2">
      <c r="A24" s="3">
        <v>601000</v>
      </c>
      <c r="B24" s="3" t="s">
        <v>317</v>
      </c>
      <c r="C24" s="1">
        <v>611160</v>
      </c>
      <c r="D24" s="1" t="s">
        <v>17</v>
      </c>
      <c r="E24" s="2"/>
      <c r="F24" s="2"/>
      <c r="G24" s="2"/>
      <c r="H24" s="2"/>
      <c r="I24" s="2"/>
      <c r="J24" s="2"/>
      <c r="K24" s="2"/>
      <c r="L24" s="2"/>
      <c r="M24" s="2"/>
      <c r="N24" s="2"/>
      <c r="U24" s="16"/>
      <c r="V24" s="45"/>
    </row>
    <row r="25" spans="1:22" x14ac:dyDescent="0.2">
      <c r="A25" s="3">
        <v>601508</v>
      </c>
      <c r="B25" s="3" t="s">
        <v>307</v>
      </c>
      <c r="C25" s="1">
        <v>611180</v>
      </c>
      <c r="D25" s="56" t="s">
        <v>307</v>
      </c>
      <c r="E25" s="2"/>
      <c r="F25" s="2"/>
      <c r="G25" s="2"/>
      <c r="H25" s="2"/>
      <c r="I25" s="2"/>
      <c r="J25" s="2"/>
      <c r="K25" s="2"/>
      <c r="L25" s="2"/>
      <c r="M25" s="2"/>
      <c r="N25" s="2"/>
      <c r="O25" s="48">
        <v>937</v>
      </c>
      <c r="P25" s="48">
        <v>10517.070000000002</v>
      </c>
      <c r="Q25" s="49">
        <v>151.07</v>
      </c>
      <c r="R25" s="49"/>
      <c r="S25" s="49"/>
      <c r="T25" s="49"/>
      <c r="U25" s="16"/>
      <c r="V25" s="45"/>
    </row>
    <row r="26" spans="1:22" x14ac:dyDescent="0.2">
      <c r="C26" s="1"/>
      <c r="D26" s="5" t="s">
        <v>229</v>
      </c>
      <c r="E26" s="6">
        <f t="shared" ref="E26:P26" si="5">SUM(E18:E25)</f>
        <v>4224571.4399999995</v>
      </c>
      <c r="F26" s="6">
        <f t="shared" si="5"/>
        <v>4457908.1499999994</v>
      </c>
      <c r="G26" s="6">
        <f t="shared" si="5"/>
        <v>4801251.01</v>
      </c>
      <c r="H26" s="6">
        <f t="shared" si="5"/>
        <v>5008849.0599999996</v>
      </c>
      <c r="I26" s="6">
        <f t="shared" si="5"/>
        <v>4326755.5000000009</v>
      </c>
      <c r="J26" s="6">
        <f t="shared" si="5"/>
        <v>4568271.63</v>
      </c>
      <c r="K26" s="6">
        <f t="shared" si="5"/>
        <v>4578770.8099999996</v>
      </c>
      <c r="L26" s="6">
        <f t="shared" si="5"/>
        <v>4495031.9200000009</v>
      </c>
      <c r="M26" s="6">
        <f t="shared" si="5"/>
        <v>4491779.72</v>
      </c>
      <c r="N26" s="6">
        <f t="shared" si="5"/>
        <v>4480486.53</v>
      </c>
      <c r="O26" s="6">
        <f t="shared" si="5"/>
        <v>4984491.1499999994</v>
      </c>
      <c r="P26" s="6">
        <f t="shared" si="5"/>
        <v>4700398.78</v>
      </c>
      <c r="Q26" s="6">
        <f>SUM(Q18:Q25)</f>
        <v>4529828.870000001</v>
      </c>
      <c r="R26" s="6">
        <f>SUM(R18:R25)</f>
        <v>7649182.8899999987</v>
      </c>
      <c r="S26" s="6">
        <f>SUM(S18:S25)</f>
        <v>8774515.25</v>
      </c>
      <c r="T26" s="6">
        <f>SUM(T18:T25)</f>
        <v>8781170.4100000001</v>
      </c>
      <c r="U26" s="17">
        <f t="shared" ref="U26" si="6">SUM(U18:U25)</f>
        <v>6655.160000000149</v>
      </c>
      <c r="V26" s="45">
        <f t="shared" ref="V26:V27" si="7">U26/S26</f>
        <v>7.5846469125461359E-4</v>
      </c>
    </row>
    <row r="27" spans="1:22" x14ac:dyDescent="0.2">
      <c r="A27" s="3">
        <v>601512</v>
      </c>
      <c r="B27" s="3" t="s">
        <v>18</v>
      </c>
      <c r="C27" s="1">
        <v>611200</v>
      </c>
      <c r="D27" s="1" t="s">
        <v>18</v>
      </c>
      <c r="E27" s="22">
        <v>4146.53</v>
      </c>
      <c r="F27" s="22">
        <v>18635.87</v>
      </c>
      <c r="G27" s="22">
        <v>7175.17</v>
      </c>
      <c r="H27" s="22">
        <v>-6957.1100000000006</v>
      </c>
      <c r="I27" s="22">
        <v>-2467.84</v>
      </c>
      <c r="J27" s="22">
        <v>9720.9200000000019</v>
      </c>
      <c r="K27" s="22">
        <v>8313.19</v>
      </c>
      <c r="L27" s="22">
        <v>-10901.52</v>
      </c>
      <c r="M27" s="22">
        <v>8929.6500000000015</v>
      </c>
      <c r="N27" s="42">
        <v>4142.76</v>
      </c>
      <c r="O27" s="48">
        <v>454.63</v>
      </c>
      <c r="P27" s="48">
        <v>33552.770000000004</v>
      </c>
      <c r="Q27" s="49">
        <v>19549.190000000002</v>
      </c>
      <c r="R27" s="39">
        <v>-56598.020000000011</v>
      </c>
      <c r="S27" s="41">
        <v>16229.450000000003</v>
      </c>
      <c r="T27" s="41">
        <f>12416.97</f>
        <v>12416.97</v>
      </c>
      <c r="U27" s="16">
        <f t="shared" ref="U27" si="8">T27-S27</f>
        <v>-3812.4800000000032</v>
      </c>
      <c r="V27" s="45">
        <f t="shared" si="7"/>
        <v>-0.23491122619682137</v>
      </c>
    </row>
    <row r="28" spans="1:22" x14ac:dyDescent="0.2">
      <c r="A28" s="3">
        <v>601302</v>
      </c>
      <c r="B28" s="3" t="s">
        <v>320</v>
      </c>
      <c r="C28" s="1">
        <v>612110</v>
      </c>
      <c r="D28" s="1" t="s">
        <v>19</v>
      </c>
      <c r="O28" s="48"/>
      <c r="P28" s="48"/>
      <c r="Q28" s="48"/>
      <c r="R28" s="48"/>
      <c r="S28" s="48"/>
      <c r="T28" s="48"/>
      <c r="U28" s="16">
        <f t="shared" ref="U28:U65" si="9">T28-S28</f>
        <v>0</v>
      </c>
      <c r="V28" s="45" t="e">
        <f t="shared" ref="V28:V66" si="10">U28/S28</f>
        <v>#DIV/0!</v>
      </c>
    </row>
    <row r="29" spans="1:22" x14ac:dyDescent="0.2">
      <c r="A29" s="3">
        <v>601300</v>
      </c>
      <c r="B29" s="3" t="s">
        <v>319</v>
      </c>
      <c r="C29" s="1">
        <v>612130</v>
      </c>
      <c r="D29" s="1" t="s">
        <v>20</v>
      </c>
      <c r="N29" s="42">
        <v>2900</v>
      </c>
      <c r="O29" s="48">
        <v>5945.67</v>
      </c>
      <c r="P29" s="48">
        <v>18013.100000000002</v>
      </c>
      <c r="Q29" s="49">
        <v>29073.55</v>
      </c>
      <c r="R29" s="70">
        <v>27715.280000000002</v>
      </c>
      <c r="S29" s="41">
        <v>7005.1</v>
      </c>
      <c r="T29" s="41"/>
      <c r="U29" s="16">
        <f t="shared" si="9"/>
        <v>-7005.1</v>
      </c>
      <c r="V29" s="45">
        <f t="shared" si="10"/>
        <v>-1</v>
      </c>
    </row>
    <row r="30" spans="1:22" x14ac:dyDescent="0.2">
      <c r="A30" s="3">
        <v>601100</v>
      </c>
      <c r="B30" s="3" t="s">
        <v>318</v>
      </c>
      <c r="C30" s="1">
        <v>612205</v>
      </c>
      <c r="D30" s="1" t="s">
        <v>21</v>
      </c>
      <c r="E30" s="22">
        <v>8344.39</v>
      </c>
      <c r="F30" s="22">
        <v>8131.8</v>
      </c>
      <c r="G30" s="22">
        <v>10047.06</v>
      </c>
      <c r="H30" s="22">
        <v>8977.34</v>
      </c>
      <c r="I30" s="22">
        <v>9965.2000000000007</v>
      </c>
      <c r="J30" s="22">
        <v>10996.08</v>
      </c>
      <c r="K30" s="22">
        <v>10041.64</v>
      </c>
      <c r="L30" s="22">
        <v>10270.85</v>
      </c>
      <c r="M30" s="22">
        <v>10660.880000000001</v>
      </c>
      <c r="N30" s="42">
        <v>11167.31</v>
      </c>
      <c r="O30" s="48">
        <v>11306.8</v>
      </c>
      <c r="P30" s="48">
        <v>10611.22</v>
      </c>
      <c r="Q30" s="49">
        <v>11048.550000000001</v>
      </c>
      <c r="R30" s="70">
        <v>12245.53</v>
      </c>
      <c r="S30" s="41">
        <v>36855.520000000004</v>
      </c>
      <c r="T30" s="41">
        <f>11834.89</f>
        <v>11834.89</v>
      </c>
      <c r="U30" s="16">
        <f t="shared" si="9"/>
        <v>-25020.630000000005</v>
      </c>
      <c r="V30" s="45">
        <f t="shared" si="10"/>
        <v>-0.67888419428080249</v>
      </c>
    </row>
    <row r="31" spans="1:22" x14ac:dyDescent="0.2">
      <c r="A31" s="3">
        <v>601510</v>
      </c>
      <c r="B31" s="3" t="s">
        <v>22</v>
      </c>
      <c r="C31" s="1">
        <v>612220</v>
      </c>
      <c r="D31" s="1" t="s">
        <v>22</v>
      </c>
      <c r="U31" s="16">
        <f t="shared" si="9"/>
        <v>0</v>
      </c>
      <c r="V31" s="45" t="e">
        <f t="shared" si="10"/>
        <v>#DIV/0!</v>
      </c>
    </row>
    <row r="32" spans="1:22" x14ac:dyDescent="0.2">
      <c r="A32" s="3">
        <v>601306</v>
      </c>
      <c r="B32" s="3" t="s">
        <v>324</v>
      </c>
      <c r="C32" s="1">
        <v>612230</v>
      </c>
      <c r="D32" s="1" t="s">
        <v>23</v>
      </c>
      <c r="E32" s="22">
        <v>50755.950000000004</v>
      </c>
      <c r="F32" s="22">
        <v>57710.98</v>
      </c>
      <c r="G32" s="22">
        <v>69370.010000000009</v>
      </c>
      <c r="H32" s="22">
        <v>112323.32</v>
      </c>
      <c r="I32" s="22">
        <v>97897.78</v>
      </c>
      <c r="J32" s="22">
        <v>89718.81</v>
      </c>
      <c r="K32" s="22">
        <v>81368.75</v>
      </c>
      <c r="L32" s="22">
        <v>79760.91</v>
      </c>
      <c r="M32" s="22">
        <v>70382.17</v>
      </c>
      <c r="N32" s="42">
        <v>49794.3</v>
      </c>
      <c r="O32" s="48">
        <v>27745.5</v>
      </c>
      <c r="P32" s="48">
        <v>13695</v>
      </c>
      <c r="Q32" s="49">
        <v>11400</v>
      </c>
      <c r="R32" s="39">
        <v>39557.5</v>
      </c>
      <c r="S32" s="41">
        <v>58674.2</v>
      </c>
      <c r="T32" s="41">
        <f>84211.5</f>
        <v>84211.5</v>
      </c>
      <c r="U32" s="16">
        <f t="shared" si="9"/>
        <v>25537.300000000003</v>
      </c>
      <c r="V32" s="45">
        <f t="shared" si="10"/>
        <v>0.43523899771961105</v>
      </c>
    </row>
    <row r="33" spans="1:22" x14ac:dyDescent="0.2">
      <c r="A33" s="3">
        <v>601303</v>
      </c>
      <c r="B33" s="3" t="s">
        <v>321</v>
      </c>
      <c r="C33" s="1">
        <v>612235</v>
      </c>
      <c r="D33" s="1" t="s">
        <v>24</v>
      </c>
      <c r="R33" s="39">
        <v>82856.100000000006</v>
      </c>
      <c r="S33" s="41">
        <v>17021.52</v>
      </c>
      <c r="T33" s="41">
        <f>32316.36</f>
        <v>32316.36</v>
      </c>
      <c r="U33" s="16">
        <f t="shared" si="9"/>
        <v>15294.84</v>
      </c>
      <c r="V33" s="45">
        <f t="shared" si="10"/>
        <v>0.89855900060629135</v>
      </c>
    </row>
    <row r="34" spans="1:22" x14ac:dyDescent="0.2">
      <c r="A34" s="3">
        <v>601304</v>
      </c>
      <c r="B34" s="3" t="s">
        <v>322</v>
      </c>
      <c r="C34" s="1">
        <v>612300</v>
      </c>
      <c r="D34" s="1" t="s">
        <v>25</v>
      </c>
      <c r="U34" s="16">
        <f t="shared" si="9"/>
        <v>0</v>
      </c>
      <c r="V34" s="45" t="e">
        <f t="shared" si="10"/>
        <v>#DIV/0!</v>
      </c>
    </row>
    <row r="35" spans="1:22" x14ac:dyDescent="0.2">
      <c r="A35" s="3">
        <v>601305</v>
      </c>
      <c r="B35" s="3" t="s">
        <v>323</v>
      </c>
      <c r="C35" s="1">
        <v>612305</v>
      </c>
      <c r="D35" s="1" t="s">
        <v>26</v>
      </c>
      <c r="U35" s="16">
        <f t="shared" si="9"/>
        <v>0</v>
      </c>
      <c r="V35" s="45" t="e">
        <f t="shared" si="10"/>
        <v>#DIV/0!</v>
      </c>
    </row>
    <row r="36" spans="1:22" x14ac:dyDescent="0.2">
      <c r="A36" s="3">
        <v>601400</v>
      </c>
      <c r="B36" s="3" t="s">
        <v>325</v>
      </c>
      <c r="C36" s="1">
        <v>612410</v>
      </c>
      <c r="D36" s="1" t="s">
        <v>27</v>
      </c>
      <c r="E36" s="22">
        <v>6975.08</v>
      </c>
      <c r="F36" s="22">
        <v>6292.12</v>
      </c>
      <c r="G36" s="22">
        <v>8099.51</v>
      </c>
      <c r="H36" s="22">
        <v>10554.02</v>
      </c>
      <c r="I36" s="22">
        <v>11679.42</v>
      </c>
      <c r="J36" s="22">
        <v>11856.130000000001</v>
      </c>
      <c r="K36" s="22">
        <v>19177.350000000002</v>
      </c>
      <c r="L36" s="22">
        <v>29632.63</v>
      </c>
      <c r="M36" s="22">
        <v>34158.81</v>
      </c>
      <c r="N36" s="42">
        <v>52443.72</v>
      </c>
      <c r="O36" s="48">
        <v>88415.55</v>
      </c>
      <c r="P36" s="48">
        <v>98405.7</v>
      </c>
      <c r="Q36" s="49">
        <v>83783.77</v>
      </c>
      <c r="R36" s="39">
        <v>302035.32</v>
      </c>
      <c r="S36" s="41">
        <v>270650.84999999998</v>
      </c>
      <c r="T36" s="41">
        <f>78810.5</f>
        <v>78810.5</v>
      </c>
      <c r="U36" s="16">
        <f t="shared" si="9"/>
        <v>-191840.34999999998</v>
      </c>
      <c r="V36" s="45">
        <f t="shared" si="10"/>
        <v>-0.70881118607238802</v>
      </c>
    </row>
    <row r="37" spans="1:22" x14ac:dyDescent="0.2">
      <c r="A37" s="3">
        <v>601401</v>
      </c>
      <c r="B37" s="3" t="s">
        <v>431</v>
      </c>
      <c r="C37" s="1">
        <v>612420</v>
      </c>
      <c r="D37" s="1" t="s">
        <v>28</v>
      </c>
      <c r="U37" s="16">
        <f t="shared" si="9"/>
        <v>0</v>
      </c>
      <c r="V37" s="45" t="e">
        <f t="shared" si="10"/>
        <v>#DIV/0!</v>
      </c>
    </row>
    <row r="38" spans="1:22" x14ac:dyDescent="0.2">
      <c r="A38" s="3">
        <v>601404</v>
      </c>
      <c r="B38" s="3" t="s">
        <v>327</v>
      </c>
      <c r="C38" s="1">
        <v>612510</v>
      </c>
      <c r="D38" s="1" t="s">
        <v>29</v>
      </c>
      <c r="E38" s="22">
        <v>1269.81</v>
      </c>
      <c r="F38" s="22"/>
      <c r="G38" s="22">
        <v>248.43</v>
      </c>
      <c r="H38" s="22">
        <v>818.15</v>
      </c>
      <c r="I38" s="22">
        <v>168</v>
      </c>
      <c r="J38" s="22"/>
      <c r="K38" s="22"/>
      <c r="L38" s="22">
        <v>796.65</v>
      </c>
      <c r="M38" s="22"/>
      <c r="N38" s="42">
        <v>899.99</v>
      </c>
      <c r="O38" s="22"/>
      <c r="P38" s="22">
        <v>454.5</v>
      </c>
      <c r="Q38" s="49">
        <v>1542.17</v>
      </c>
      <c r="R38" s="39">
        <v>4404.8500000000004</v>
      </c>
      <c r="S38" s="41">
        <v>13139.080000000002</v>
      </c>
      <c r="T38" s="41">
        <f>9516</f>
        <v>9516</v>
      </c>
      <c r="U38" s="16">
        <f t="shared" si="9"/>
        <v>-3623.0800000000017</v>
      </c>
      <c r="V38" s="45">
        <f t="shared" si="10"/>
        <v>-0.27574837812084263</v>
      </c>
    </row>
    <row r="39" spans="1:22" x14ac:dyDescent="0.2">
      <c r="A39" s="3">
        <v>601405</v>
      </c>
      <c r="B39" s="3" t="s">
        <v>328</v>
      </c>
      <c r="C39" s="1">
        <v>612520</v>
      </c>
      <c r="D39" s="1" t="s">
        <v>30</v>
      </c>
      <c r="E39" s="22">
        <v>423.32</v>
      </c>
      <c r="F39" s="22"/>
      <c r="G39" s="22">
        <v>82.82</v>
      </c>
      <c r="H39" s="22">
        <v>272.72000000000003</v>
      </c>
      <c r="I39" s="22">
        <v>56</v>
      </c>
      <c r="J39" s="22"/>
      <c r="K39" s="22"/>
      <c r="L39" s="22">
        <v>265.57</v>
      </c>
      <c r="M39" s="22"/>
      <c r="N39" s="42">
        <v>300.01</v>
      </c>
      <c r="O39" s="22"/>
      <c r="P39" s="22">
        <v>151.5</v>
      </c>
      <c r="Q39" s="49">
        <v>514.01</v>
      </c>
      <c r="R39" s="39">
        <v>1468.3700000000001</v>
      </c>
      <c r="S39" s="41">
        <v>4379.8</v>
      </c>
      <c r="T39" s="41"/>
      <c r="U39" s="16">
        <f t="shared" si="9"/>
        <v>-4379.8</v>
      </c>
      <c r="V39" s="45">
        <f t="shared" si="10"/>
        <v>-1</v>
      </c>
    </row>
    <row r="40" spans="1:22" x14ac:dyDescent="0.2">
      <c r="A40" s="3">
        <v>601402</v>
      </c>
      <c r="B40" s="3" t="s">
        <v>326</v>
      </c>
      <c r="C40" s="1">
        <v>612600</v>
      </c>
      <c r="D40" s="1" t="s">
        <v>31</v>
      </c>
      <c r="N40" s="22"/>
      <c r="U40" s="16">
        <f t="shared" si="9"/>
        <v>0</v>
      </c>
      <c r="V40" s="45" t="e">
        <f t="shared" si="10"/>
        <v>#DIV/0!</v>
      </c>
    </row>
    <row r="41" spans="1:22" x14ac:dyDescent="0.2">
      <c r="A41" s="3">
        <v>601501</v>
      </c>
      <c r="B41" s="3" t="s">
        <v>32</v>
      </c>
      <c r="C41" s="1">
        <v>613100</v>
      </c>
      <c r="D41" s="1" t="s">
        <v>32</v>
      </c>
      <c r="E41" s="22">
        <v>227679.48</v>
      </c>
      <c r="F41" s="22">
        <v>194917.86000000002</v>
      </c>
      <c r="G41" s="22">
        <v>137883.18</v>
      </c>
      <c r="H41" s="22">
        <v>191425.59000000003</v>
      </c>
      <c r="I41" s="22">
        <v>183166.44</v>
      </c>
      <c r="J41" s="22">
        <v>351862.93</v>
      </c>
      <c r="K41" s="22">
        <v>242565.84000000003</v>
      </c>
      <c r="L41" s="22">
        <v>486203.68000000005</v>
      </c>
      <c r="M41" s="22">
        <v>302797.74</v>
      </c>
      <c r="N41" s="42">
        <v>436041.73</v>
      </c>
      <c r="O41" s="48">
        <v>421344.39</v>
      </c>
      <c r="P41" s="48">
        <v>418177.10000000009</v>
      </c>
      <c r="Q41" s="49">
        <v>361578.76999999996</v>
      </c>
      <c r="R41" s="39">
        <v>871086.48999999987</v>
      </c>
      <c r="S41" s="41">
        <v>461980.07999999996</v>
      </c>
      <c r="T41" s="41">
        <f>417587.05</f>
        <v>417587.05</v>
      </c>
      <c r="U41" s="16">
        <f t="shared" si="9"/>
        <v>-44393.02999999997</v>
      </c>
      <c r="V41" s="45">
        <f t="shared" si="10"/>
        <v>-9.6092952752421648E-2</v>
      </c>
    </row>
    <row r="42" spans="1:22" x14ac:dyDescent="0.2">
      <c r="A42" s="3">
        <v>601501</v>
      </c>
      <c r="B42" s="3" t="s">
        <v>32</v>
      </c>
      <c r="C42" s="57">
        <v>613110</v>
      </c>
      <c r="D42" s="57" t="s">
        <v>294</v>
      </c>
      <c r="E42" s="22"/>
      <c r="F42" s="22"/>
      <c r="G42" s="22"/>
      <c r="H42" s="22"/>
      <c r="I42" s="22"/>
      <c r="J42" s="22">
        <v>-200</v>
      </c>
      <c r="K42" s="22"/>
      <c r="L42" s="22"/>
      <c r="M42" s="22"/>
      <c r="N42" s="22"/>
      <c r="O42" s="47"/>
      <c r="P42" s="47"/>
      <c r="Q42" s="47"/>
      <c r="R42" s="47"/>
      <c r="S42" s="47"/>
      <c r="T42" s="47"/>
      <c r="U42" s="16">
        <f t="shared" si="9"/>
        <v>0</v>
      </c>
      <c r="V42" s="45" t="e">
        <f t="shared" si="10"/>
        <v>#DIV/0!</v>
      </c>
    </row>
    <row r="43" spans="1:22" x14ac:dyDescent="0.2">
      <c r="A43" s="3">
        <v>601503</v>
      </c>
      <c r="B43" s="3" t="s">
        <v>33</v>
      </c>
      <c r="C43" s="1">
        <v>613210</v>
      </c>
      <c r="D43" s="1" t="s">
        <v>33</v>
      </c>
      <c r="E43" s="22">
        <v>36619.53</v>
      </c>
      <c r="F43" s="22">
        <v>27836.190000000002</v>
      </c>
      <c r="G43" s="22">
        <v>30619.87</v>
      </c>
      <c r="H43" s="22">
        <v>33983.240000000005</v>
      </c>
      <c r="I43" s="22">
        <v>9726.49</v>
      </c>
      <c r="J43" s="22">
        <v>9841.9599999999991</v>
      </c>
      <c r="K43" s="22">
        <v>19357.389999999996</v>
      </c>
      <c r="L43" s="22">
        <v>32136.880000000001</v>
      </c>
      <c r="M43" s="22">
        <v>36442.019999999997</v>
      </c>
      <c r="N43" s="42">
        <v>37120.629999999997</v>
      </c>
      <c r="O43" s="48">
        <v>36962.019999999997</v>
      </c>
      <c r="P43" s="48">
        <v>34942.550000000003</v>
      </c>
      <c r="Q43" s="49">
        <v>32614.890000000003</v>
      </c>
      <c r="R43" s="39">
        <v>106228.89</v>
      </c>
      <c r="S43" s="41">
        <v>99995.730000000025</v>
      </c>
      <c r="T43" s="41">
        <f>96636.59</f>
        <v>96636.59</v>
      </c>
      <c r="U43" s="16">
        <f t="shared" si="9"/>
        <v>-3359.1400000000285</v>
      </c>
      <c r="V43" s="45">
        <f t="shared" si="10"/>
        <v>-3.3592834414029757E-2</v>
      </c>
    </row>
    <row r="44" spans="1:22" x14ac:dyDescent="0.2">
      <c r="A44" s="3">
        <v>601504</v>
      </c>
      <c r="B44" s="3" t="s">
        <v>332</v>
      </c>
      <c r="C44" s="57">
        <v>613215</v>
      </c>
      <c r="D44" s="57" t="s">
        <v>275</v>
      </c>
      <c r="E44" s="22">
        <v>1994.3000000000002</v>
      </c>
      <c r="F44" s="22"/>
      <c r="G44" s="22"/>
      <c r="H44" s="22">
        <v>2428.4000000000005</v>
      </c>
      <c r="I44" s="22">
        <v>1763.1999999999998</v>
      </c>
      <c r="J44" s="22">
        <v>3403.3999999999996</v>
      </c>
      <c r="K44" s="22">
        <v>753.94999999999993</v>
      </c>
      <c r="L44" s="22">
        <v>2581.4500000000003</v>
      </c>
      <c r="M44" s="22">
        <v>4469.2999999999993</v>
      </c>
      <c r="N44" s="42">
        <v>4403.8500000000004</v>
      </c>
      <c r="O44" s="48">
        <v>2152.1999999999998</v>
      </c>
      <c r="P44" s="48">
        <v>3289.5</v>
      </c>
      <c r="Q44" s="49">
        <v>3162</v>
      </c>
      <c r="R44" s="39">
        <v>4498.2</v>
      </c>
      <c r="S44" s="41">
        <v>2785.45</v>
      </c>
      <c r="T44" s="41">
        <f>1761.2</f>
        <v>1761.2</v>
      </c>
      <c r="U44" s="16">
        <f t="shared" si="9"/>
        <v>-1024.2499999999998</v>
      </c>
      <c r="V44" s="45">
        <f t="shared" si="10"/>
        <v>-0.36771437290204451</v>
      </c>
    </row>
    <row r="45" spans="1:22" x14ac:dyDescent="0.2">
      <c r="A45" s="3">
        <v>601502</v>
      </c>
      <c r="B45" s="3" t="s">
        <v>331</v>
      </c>
      <c r="C45" s="1">
        <v>613220</v>
      </c>
      <c r="D45" s="1" t="s">
        <v>34</v>
      </c>
      <c r="E45" s="22">
        <v>9303.6299999999992</v>
      </c>
      <c r="F45" s="22">
        <v>8854.16</v>
      </c>
      <c r="G45" s="22">
        <v>9587.76</v>
      </c>
      <c r="H45" s="22">
        <v>9341.3200000000015</v>
      </c>
      <c r="I45" s="22">
        <v>10369.56</v>
      </c>
      <c r="J45" s="22">
        <v>10000.32</v>
      </c>
      <c r="K45" s="22">
        <v>11221.720000000001</v>
      </c>
      <c r="L45" s="22">
        <v>11853.15</v>
      </c>
      <c r="M45" s="22">
        <v>12088.81</v>
      </c>
      <c r="N45" s="42">
        <v>12796</v>
      </c>
      <c r="O45" s="48">
        <v>14480.77</v>
      </c>
      <c r="P45" s="48">
        <v>14014.130000000001</v>
      </c>
      <c r="Q45" s="49">
        <v>13272.56</v>
      </c>
      <c r="R45" s="39">
        <v>49985.270000000004</v>
      </c>
      <c r="S45" s="41">
        <v>51859.87</v>
      </c>
      <c r="T45" s="41">
        <v>51461.450000000004</v>
      </c>
      <c r="U45" s="16">
        <f t="shared" si="9"/>
        <v>-398.41999999999825</v>
      </c>
      <c r="V45" s="45">
        <f t="shared" si="10"/>
        <v>-7.6826262773122692E-3</v>
      </c>
    </row>
    <row r="46" spans="1:22" x14ac:dyDescent="0.2">
      <c r="A46" s="3">
        <v>601509</v>
      </c>
      <c r="B46" s="3" t="s">
        <v>35</v>
      </c>
      <c r="C46" s="1">
        <v>613235</v>
      </c>
      <c r="D46" s="1" t="s">
        <v>35</v>
      </c>
      <c r="S46" s="41">
        <v>1044.9000000000001</v>
      </c>
      <c r="T46" s="41">
        <v>10000</v>
      </c>
      <c r="U46" s="16">
        <f t="shared" si="9"/>
        <v>8955.1</v>
      </c>
      <c r="V46" s="45">
        <f t="shared" si="10"/>
        <v>8.5702938080199065</v>
      </c>
    </row>
    <row r="47" spans="1:22" x14ac:dyDescent="0.2">
      <c r="A47" s="3">
        <v>601513</v>
      </c>
      <c r="B47" s="3" t="s">
        <v>432</v>
      </c>
      <c r="C47" s="1">
        <v>613400</v>
      </c>
      <c r="D47" s="1" t="s">
        <v>36</v>
      </c>
      <c r="E47" s="22">
        <v>131678.95000000001</v>
      </c>
      <c r="F47" s="22">
        <v>-23160.58</v>
      </c>
      <c r="G47" s="22">
        <v>60292.57</v>
      </c>
      <c r="H47" s="22">
        <v>-93664.73000000001</v>
      </c>
      <c r="I47" s="22">
        <v>39872.879999999997</v>
      </c>
      <c r="J47" s="22">
        <v>6539.7000000000007</v>
      </c>
      <c r="K47" s="22">
        <v>85310.24</v>
      </c>
      <c r="L47" s="22">
        <v>24454.850000000002</v>
      </c>
      <c r="M47" s="22">
        <v>-5283.5100000000011</v>
      </c>
      <c r="N47" s="42">
        <v>147670.91999999998</v>
      </c>
      <c r="O47" s="48">
        <v>-5720.76</v>
      </c>
      <c r="P47" s="48">
        <v>-18562.770000000004</v>
      </c>
      <c r="Q47" s="49">
        <v>-41901.590000000004</v>
      </c>
      <c r="R47" s="39">
        <v>112691.03000000001</v>
      </c>
      <c r="S47" s="41">
        <v>-39378.979999999996</v>
      </c>
      <c r="T47" s="41">
        <v>99840.260000000009</v>
      </c>
      <c r="U47" s="16">
        <f t="shared" si="9"/>
        <v>139219.24</v>
      </c>
      <c r="V47" s="45">
        <f t="shared" si="10"/>
        <v>-3.5353693772667549</v>
      </c>
    </row>
    <row r="48" spans="1:22" x14ac:dyDescent="0.2">
      <c r="A48" s="3">
        <v>601508</v>
      </c>
      <c r="B48" s="3" t="s">
        <v>307</v>
      </c>
      <c r="C48" s="1">
        <v>613410</v>
      </c>
      <c r="D48" s="1" t="s">
        <v>37</v>
      </c>
      <c r="E48" s="22"/>
      <c r="F48" s="22"/>
      <c r="G48" s="22"/>
      <c r="H48" s="22">
        <v>294114.72000000003</v>
      </c>
      <c r="I48" s="22"/>
      <c r="J48" s="22"/>
      <c r="K48" s="22"/>
      <c r="L48" s="22"/>
      <c r="M48" s="22">
        <v>0.01</v>
      </c>
      <c r="N48" s="22"/>
      <c r="O48" s="22"/>
      <c r="P48" s="22"/>
      <c r="Q48" s="22"/>
      <c r="R48" s="22"/>
      <c r="S48" s="22"/>
      <c r="T48" s="22"/>
      <c r="U48" s="16">
        <f t="shared" si="9"/>
        <v>0</v>
      </c>
      <c r="V48" s="45" t="e">
        <f t="shared" si="10"/>
        <v>#DIV/0!</v>
      </c>
    </row>
    <row r="49" spans="1:22" x14ac:dyDescent="0.2">
      <c r="A49" s="3">
        <v>601500</v>
      </c>
      <c r="B49" s="3" t="s">
        <v>330</v>
      </c>
      <c r="C49" s="1">
        <v>621100</v>
      </c>
      <c r="D49" s="1" t="s">
        <v>38</v>
      </c>
      <c r="E49" s="22">
        <v>50297.66</v>
      </c>
      <c r="F49" s="22">
        <v>47120.480000000003</v>
      </c>
      <c r="G49" s="22">
        <v>45763.80999999999</v>
      </c>
      <c r="H49" s="22">
        <v>61720.260000000009</v>
      </c>
      <c r="I49" s="22">
        <v>32996.54</v>
      </c>
      <c r="J49" s="22">
        <v>39505.96</v>
      </c>
      <c r="K49" s="22">
        <v>23807.759999999998</v>
      </c>
      <c r="L49" s="22">
        <v>36909.17</v>
      </c>
      <c r="M49" s="22">
        <v>45075.460000000006</v>
      </c>
      <c r="N49" s="42">
        <v>39207.230000000003</v>
      </c>
      <c r="O49" s="48">
        <v>29592.11</v>
      </c>
      <c r="P49" s="48">
        <v>28047.63</v>
      </c>
      <c r="Q49" s="49">
        <v>29712.649999999998</v>
      </c>
      <c r="R49" s="39">
        <v>83616.5</v>
      </c>
      <c r="S49" s="41">
        <v>88186.680000000008</v>
      </c>
      <c r="T49" s="41">
        <v>78503.72</v>
      </c>
      <c r="U49" s="16">
        <f t="shared" si="9"/>
        <v>-9682.9600000000064</v>
      </c>
      <c r="V49" s="45">
        <f t="shared" si="10"/>
        <v>-0.10980070913203678</v>
      </c>
    </row>
    <row r="50" spans="1:22" x14ac:dyDescent="0.2">
      <c r="A50" s="3">
        <v>601500</v>
      </c>
      <c r="B50" s="3" t="s">
        <v>330</v>
      </c>
      <c r="C50" s="1">
        <v>621110</v>
      </c>
      <c r="D50" s="1" t="s">
        <v>39</v>
      </c>
      <c r="U50" s="16">
        <f t="shared" si="9"/>
        <v>0</v>
      </c>
      <c r="V50" s="45" t="e">
        <f t="shared" si="10"/>
        <v>#DIV/0!</v>
      </c>
    </row>
    <row r="51" spans="1:22" x14ac:dyDescent="0.2">
      <c r="A51" s="3">
        <v>601500</v>
      </c>
      <c r="B51" s="3" t="s">
        <v>330</v>
      </c>
      <c r="C51" s="1">
        <v>621120</v>
      </c>
      <c r="D51" s="1" t="s">
        <v>40</v>
      </c>
      <c r="U51" s="16">
        <f t="shared" si="9"/>
        <v>0</v>
      </c>
      <c r="V51" s="45" t="e">
        <f t="shared" si="10"/>
        <v>#DIV/0!</v>
      </c>
    </row>
    <row r="52" spans="1:22" x14ac:dyDescent="0.2">
      <c r="A52" s="3">
        <v>601500</v>
      </c>
      <c r="B52" s="3" t="s">
        <v>330</v>
      </c>
      <c r="C52" s="1">
        <v>621130</v>
      </c>
      <c r="D52" s="1" t="s">
        <v>41</v>
      </c>
      <c r="U52" s="16">
        <f t="shared" si="9"/>
        <v>0</v>
      </c>
      <c r="V52" s="45" t="e">
        <f t="shared" si="10"/>
        <v>#DIV/0!</v>
      </c>
    </row>
    <row r="53" spans="1:22" x14ac:dyDescent="0.2">
      <c r="A53" s="3">
        <v>601500</v>
      </c>
      <c r="B53" s="3" t="s">
        <v>330</v>
      </c>
      <c r="C53" s="1">
        <v>621140</v>
      </c>
      <c r="D53" s="1" t="s">
        <v>42</v>
      </c>
      <c r="E53" s="22">
        <v>5357.58</v>
      </c>
      <c r="F53" s="22">
        <v>4907.67</v>
      </c>
      <c r="G53" s="22">
        <v>8713.7800000000007</v>
      </c>
      <c r="H53" s="22">
        <v>9649.67</v>
      </c>
      <c r="I53" s="22">
        <v>9559.94</v>
      </c>
      <c r="J53" s="22">
        <v>9977.27</v>
      </c>
      <c r="K53" s="22">
        <v>8731.3100000000013</v>
      </c>
      <c r="L53" s="22">
        <v>9893.8000000000011</v>
      </c>
      <c r="M53" s="22">
        <v>14366.140000000001</v>
      </c>
      <c r="N53" s="42">
        <v>13064.550000000001</v>
      </c>
      <c r="O53" s="48">
        <f>27098.96</f>
        <v>27098.959999999999</v>
      </c>
      <c r="P53" s="48">
        <v>20160.18</v>
      </c>
      <c r="Q53" s="49">
        <v>24160.980000000003</v>
      </c>
      <c r="R53" s="49"/>
      <c r="S53" s="49"/>
      <c r="T53" s="49"/>
      <c r="U53" s="16">
        <f t="shared" si="9"/>
        <v>0</v>
      </c>
      <c r="V53" s="45" t="e">
        <f t="shared" si="10"/>
        <v>#DIV/0!</v>
      </c>
    </row>
    <row r="54" spans="1:22" x14ac:dyDescent="0.2">
      <c r="A54" s="3">
        <v>601500</v>
      </c>
      <c r="B54" s="3" t="s">
        <v>330</v>
      </c>
      <c r="C54" s="1">
        <v>621150</v>
      </c>
      <c r="D54" s="1" t="s">
        <v>43</v>
      </c>
      <c r="P54" s="3">
        <v>4422.17</v>
      </c>
      <c r="U54" s="16">
        <f t="shared" si="9"/>
        <v>0</v>
      </c>
      <c r="V54" s="45" t="e">
        <f t="shared" si="10"/>
        <v>#DIV/0!</v>
      </c>
    </row>
    <row r="55" spans="1:22" x14ac:dyDescent="0.2">
      <c r="A55" s="3">
        <v>601505</v>
      </c>
      <c r="B55" s="3" t="s">
        <v>333</v>
      </c>
      <c r="C55" s="1">
        <v>622100</v>
      </c>
      <c r="D55" s="1" t="s">
        <v>44</v>
      </c>
      <c r="E55" s="22">
        <v>3368.6500000000005</v>
      </c>
      <c r="F55" s="22">
        <v>42335.65</v>
      </c>
      <c r="G55" s="22">
        <v>23072.760000000002</v>
      </c>
      <c r="H55" s="22">
        <v>8026.5300000000007</v>
      </c>
      <c r="I55" s="22">
        <v>18731.27</v>
      </c>
      <c r="J55" s="22">
        <v>46269.8</v>
      </c>
      <c r="K55" s="22">
        <v>8595.11</v>
      </c>
      <c r="L55" s="22">
        <v>10939.329999999998</v>
      </c>
      <c r="M55" s="22">
        <v>89519.05</v>
      </c>
      <c r="N55" s="42">
        <v>77980.849999999991</v>
      </c>
      <c r="O55" s="48">
        <f>51972.01</f>
        <v>51972.01</v>
      </c>
      <c r="P55" s="48">
        <v>25077.360000000001</v>
      </c>
      <c r="Q55" s="49">
        <v>19845.2</v>
      </c>
      <c r="R55" s="49"/>
      <c r="S55" s="49"/>
      <c r="T55" s="49"/>
      <c r="U55" s="16">
        <f t="shared" si="9"/>
        <v>0</v>
      </c>
      <c r="V55" s="45" t="e">
        <f t="shared" si="10"/>
        <v>#DIV/0!</v>
      </c>
    </row>
    <row r="56" spans="1:22" x14ac:dyDescent="0.2">
      <c r="A56" s="3">
        <v>601505</v>
      </c>
      <c r="B56" s="3" t="s">
        <v>333</v>
      </c>
      <c r="C56" s="1">
        <v>622140</v>
      </c>
      <c r="D56" s="1" t="s">
        <v>45</v>
      </c>
      <c r="E56" s="22"/>
      <c r="F56" s="22"/>
      <c r="G56" s="22"/>
      <c r="H56" s="22"/>
      <c r="I56" s="22"/>
      <c r="J56" s="22"/>
      <c r="K56" s="22"/>
      <c r="L56" s="22"/>
      <c r="M56" s="22">
        <v>24409.920000000002</v>
      </c>
      <c r="N56" s="22"/>
      <c r="O56" s="22"/>
      <c r="P56" s="22"/>
      <c r="Q56" s="49">
        <v>49057.56</v>
      </c>
      <c r="R56" s="39">
        <v>83257.91</v>
      </c>
      <c r="S56" s="41">
        <v>193018.13</v>
      </c>
      <c r="T56" s="41">
        <v>107175.67000000001</v>
      </c>
      <c r="U56" s="16">
        <f t="shared" si="9"/>
        <v>-85842.459999999992</v>
      </c>
      <c r="V56" s="45">
        <f t="shared" si="10"/>
        <v>-0.4447378077903873</v>
      </c>
    </row>
    <row r="57" spans="1:22" x14ac:dyDescent="0.2">
      <c r="A57" s="3">
        <v>601506</v>
      </c>
      <c r="B57" s="3" t="s">
        <v>334</v>
      </c>
      <c r="C57" s="1">
        <v>623100</v>
      </c>
      <c r="D57" s="1" t="s">
        <v>46</v>
      </c>
      <c r="E57" s="22">
        <v>529.66</v>
      </c>
      <c r="F57" s="22">
        <v>11173.660000000002</v>
      </c>
      <c r="G57" s="22">
        <v>4671.2800000000007</v>
      </c>
      <c r="H57" s="22">
        <v>3079.51</v>
      </c>
      <c r="I57" s="22">
        <v>4310.0600000000004</v>
      </c>
      <c r="J57" s="22">
        <v>16711.39</v>
      </c>
      <c r="K57" s="22">
        <v>3581.55</v>
      </c>
      <c r="L57" s="22">
        <v>4104.1000000000004</v>
      </c>
      <c r="M57" s="22">
        <v>34393.759999999995</v>
      </c>
      <c r="N57" s="42">
        <v>33871.620000000003</v>
      </c>
      <c r="O57" s="48">
        <f>19651.72</f>
        <v>19651.72</v>
      </c>
      <c r="P57" s="48">
        <v>5812.79</v>
      </c>
      <c r="Q57" s="49">
        <v>6677.63</v>
      </c>
      <c r="R57" s="49"/>
      <c r="S57" s="49"/>
      <c r="T57" s="41">
        <v>29349.02</v>
      </c>
      <c r="U57" s="16">
        <f t="shared" si="9"/>
        <v>29349.02</v>
      </c>
      <c r="V57" s="45" t="e">
        <f t="shared" si="10"/>
        <v>#DIV/0!</v>
      </c>
    </row>
    <row r="58" spans="1:22" x14ac:dyDescent="0.2">
      <c r="A58" s="3">
        <v>601506</v>
      </c>
      <c r="B58" s="3" t="s">
        <v>334</v>
      </c>
      <c r="C58" s="1">
        <v>623110</v>
      </c>
      <c r="D58" s="1" t="s">
        <v>47</v>
      </c>
      <c r="E58" s="22"/>
      <c r="F58" s="22"/>
      <c r="G58" s="22"/>
      <c r="H58" s="22"/>
      <c r="I58" s="22"/>
      <c r="J58" s="22">
        <v>1012.39</v>
      </c>
      <c r="K58" s="22"/>
      <c r="L58" s="22"/>
      <c r="M58" s="22"/>
      <c r="N58" s="22"/>
      <c r="O58" s="22"/>
      <c r="P58" s="22"/>
      <c r="Q58" s="22"/>
      <c r="R58" s="22"/>
      <c r="S58" s="22"/>
      <c r="T58" s="22"/>
      <c r="U58" s="16">
        <f t="shared" si="9"/>
        <v>0</v>
      </c>
      <c r="V58" s="45" t="e">
        <f t="shared" si="10"/>
        <v>#DIV/0!</v>
      </c>
    </row>
    <row r="59" spans="1:22" x14ac:dyDescent="0.2">
      <c r="A59" s="3">
        <v>601506</v>
      </c>
      <c r="B59" s="3" t="s">
        <v>334</v>
      </c>
      <c r="C59" s="1">
        <v>623120</v>
      </c>
      <c r="D59" s="1" t="s">
        <v>48</v>
      </c>
      <c r="U59" s="16">
        <f t="shared" si="9"/>
        <v>0</v>
      </c>
      <c r="V59" s="45" t="e">
        <f t="shared" si="10"/>
        <v>#DIV/0!</v>
      </c>
    </row>
    <row r="60" spans="1:22" x14ac:dyDescent="0.2">
      <c r="A60" s="3">
        <v>601506</v>
      </c>
      <c r="B60" s="3" t="s">
        <v>334</v>
      </c>
      <c r="C60" s="1">
        <v>623140</v>
      </c>
      <c r="D60" s="1" t="s">
        <v>49</v>
      </c>
      <c r="U60" s="16">
        <f t="shared" si="9"/>
        <v>0</v>
      </c>
      <c r="V60" s="45" t="e">
        <f t="shared" si="10"/>
        <v>#DIV/0!</v>
      </c>
    </row>
    <row r="61" spans="1:22" x14ac:dyDescent="0.2">
      <c r="A61" s="3">
        <v>601506</v>
      </c>
      <c r="B61" s="3" t="s">
        <v>334</v>
      </c>
      <c r="C61" s="1">
        <v>623150</v>
      </c>
      <c r="D61" s="1" t="s">
        <v>50</v>
      </c>
      <c r="Q61" s="49">
        <v>13682.970000000001</v>
      </c>
      <c r="R61" s="39">
        <v>22170.300000000003</v>
      </c>
      <c r="S61" s="41">
        <v>62636.399999999994</v>
      </c>
      <c r="T61" s="41"/>
      <c r="U61" s="16">
        <f t="shared" si="9"/>
        <v>-62636.399999999994</v>
      </c>
      <c r="V61" s="45">
        <f t="shared" si="10"/>
        <v>-1</v>
      </c>
    </row>
    <row r="62" spans="1:22" x14ac:dyDescent="0.2">
      <c r="A62" s="3">
        <v>601506</v>
      </c>
      <c r="B62" s="3" t="s">
        <v>334</v>
      </c>
      <c r="C62" s="1">
        <v>623160</v>
      </c>
      <c r="D62" s="1" t="s">
        <v>51</v>
      </c>
      <c r="S62" s="41"/>
      <c r="T62" s="41"/>
      <c r="U62" s="16">
        <f t="shared" si="9"/>
        <v>0</v>
      </c>
      <c r="V62" s="45" t="e">
        <f t="shared" si="10"/>
        <v>#DIV/0!</v>
      </c>
    </row>
    <row r="63" spans="1:22" x14ac:dyDescent="0.2">
      <c r="A63" s="3">
        <v>601508</v>
      </c>
      <c r="B63" s="3" t="s">
        <v>307</v>
      </c>
      <c r="C63" s="1">
        <v>624100</v>
      </c>
      <c r="D63" s="1" t="s">
        <v>52</v>
      </c>
      <c r="E63" s="22">
        <v>32580</v>
      </c>
      <c r="F63" s="22">
        <v>23639.809999999998</v>
      </c>
      <c r="G63" s="22">
        <v>45196.59</v>
      </c>
      <c r="H63" s="22">
        <v>55896.66</v>
      </c>
      <c r="I63" s="22">
        <v>43583.5</v>
      </c>
      <c r="J63" s="22">
        <v>1856.24</v>
      </c>
      <c r="K63" s="22">
        <v>9450</v>
      </c>
      <c r="L63" s="22">
        <v>5400</v>
      </c>
      <c r="M63" s="22">
        <v>4185</v>
      </c>
      <c r="N63" s="42">
        <v>4590</v>
      </c>
      <c r="O63" s="48">
        <f>405</f>
        <v>405</v>
      </c>
      <c r="P63" s="48">
        <v>9585</v>
      </c>
      <c r="Q63" s="49">
        <v>2592</v>
      </c>
      <c r="R63" s="39">
        <v>9657</v>
      </c>
      <c r="S63" s="41">
        <v>8937</v>
      </c>
      <c r="T63" s="41">
        <v>5688</v>
      </c>
      <c r="U63" s="16">
        <f t="shared" si="9"/>
        <v>-3249</v>
      </c>
      <c r="V63" s="45">
        <f t="shared" si="10"/>
        <v>-0.36354481369587111</v>
      </c>
    </row>
    <row r="64" spans="1:22" x14ac:dyDescent="0.2">
      <c r="A64" s="3">
        <v>601508</v>
      </c>
      <c r="B64" s="3" t="s">
        <v>307</v>
      </c>
      <c r="C64" s="1">
        <v>624120</v>
      </c>
      <c r="D64" s="1" t="s">
        <v>53</v>
      </c>
      <c r="U64" s="16">
        <f t="shared" si="9"/>
        <v>0</v>
      </c>
      <c r="V64" s="45" t="e">
        <f t="shared" si="10"/>
        <v>#DIV/0!</v>
      </c>
    </row>
    <row r="65" spans="1:22" x14ac:dyDescent="0.2">
      <c r="A65" s="3">
        <v>601508</v>
      </c>
      <c r="B65" s="3" t="s">
        <v>307</v>
      </c>
      <c r="C65" s="1">
        <v>624125</v>
      </c>
      <c r="D65" s="1" t="s">
        <v>54</v>
      </c>
      <c r="E65" s="22"/>
      <c r="F65" s="22"/>
      <c r="G65" s="22">
        <v>1129.4000000000001</v>
      </c>
      <c r="H65" s="22">
        <v>1157.48</v>
      </c>
      <c r="I65" s="22"/>
      <c r="J65" s="22">
        <v>1186.23</v>
      </c>
      <c r="K65" s="22"/>
      <c r="L65" s="22"/>
      <c r="M65" s="22"/>
      <c r="N65" s="22"/>
      <c r="O65" s="22"/>
      <c r="P65" s="22"/>
      <c r="Q65" s="22"/>
      <c r="R65" s="22"/>
      <c r="S65" s="22"/>
      <c r="T65" s="22"/>
      <c r="U65" s="16">
        <f t="shared" si="9"/>
        <v>0</v>
      </c>
      <c r="V65" s="45" t="e">
        <f t="shared" si="10"/>
        <v>#DIV/0!</v>
      </c>
    </row>
    <row r="66" spans="1:22" x14ac:dyDescent="0.2">
      <c r="C66" s="1"/>
      <c r="D66" s="5" t="s">
        <v>230</v>
      </c>
      <c r="E66" s="6">
        <f>SUM(E27:E65)</f>
        <v>571324.52</v>
      </c>
      <c r="F66" s="6">
        <f>SUM(F27:F65)</f>
        <v>428395.66999999993</v>
      </c>
      <c r="G66" s="6">
        <f t="shared" ref="G66:U66" si="11">SUM(G27:G65)</f>
        <v>461954.00000000012</v>
      </c>
      <c r="H66" s="6">
        <f t="shared" si="11"/>
        <v>703147.09000000008</v>
      </c>
      <c r="I66" s="6">
        <f t="shared" si="11"/>
        <v>471378.44</v>
      </c>
      <c r="J66" s="6">
        <f t="shared" si="11"/>
        <v>620259.53000000014</v>
      </c>
      <c r="K66" s="6">
        <f t="shared" si="11"/>
        <v>532275.80000000005</v>
      </c>
      <c r="L66" s="6">
        <f t="shared" si="11"/>
        <v>734301.5</v>
      </c>
      <c r="M66" s="6">
        <f t="shared" si="11"/>
        <v>686595.21000000008</v>
      </c>
      <c r="N66" s="6">
        <f t="shared" si="11"/>
        <v>928395.47</v>
      </c>
      <c r="O66" s="6">
        <f t="shared" si="11"/>
        <v>731806.57</v>
      </c>
      <c r="P66" s="6">
        <f t="shared" si="11"/>
        <v>719849.43000000028</v>
      </c>
      <c r="Q66" s="6">
        <f t="shared" si="11"/>
        <v>671366.86</v>
      </c>
      <c r="R66" s="6">
        <f t="shared" si="11"/>
        <v>1756876.5199999998</v>
      </c>
      <c r="S66" s="6">
        <f t="shared" si="11"/>
        <v>1355020.7799999998</v>
      </c>
      <c r="T66" s="6">
        <f t="shared" si="11"/>
        <v>1127109.18</v>
      </c>
      <c r="U66" s="17">
        <f t="shared" si="11"/>
        <v>-227911.59999999998</v>
      </c>
      <c r="V66" s="45">
        <f t="shared" si="10"/>
        <v>-0.16819786335675238</v>
      </c>
    </row>
    <row r="67" spans="1:22" x14ac:dyDescent="0.2">
      <c r="A67" s="3">
        <v>602400</v>
      </c>
      <c r="B67" s="3" t="s">
        <v>499</v>
      </c>
      <c r="C67" s="1">
        <v>625100</v>
      </c>
      <c r="D67" s="1" t="s">
        <v>55</v>
      </c>
      <c r="E67" s="22">
        <v>37110.54</v>
      </c>
      <c r="F67" s="22">
        <v>36109.480000000003</v>
      </c>
      <c r="G67" s="22">
        <v>44798.87</v>
      </c>
      <c r="H67" s="22">
        <v>49433.170000000006</v>
      </c>
      <c r="I67" s="22">
        <v>47167.54</v>
      </c>
      <c r="J67" s="22">
        <v>53059.59</v>
      </c>
      <c r="K67" s="22">
        <v>56919.249999999985</v>
      </c>
      <c r="L67" s="22">
        <v>51392.100000000006</v>
      </c>
      <c r="M67" s="22">
        <v>47177.71</v>
      </c>
      <c r="N67" s="42">
        <v>53791.900000000009</v>
      </c>
      <c r="O67" s="48">
        <f>36894.03</f>
        <v>36894.03</v>
      </c>
      <c r="P67" s="48">
        <v>32232.820000000003</v>
      </c>
      <c r="Q67" s="49">
        <v>28713.919999999998</v>
      </c>
      <c r="R67" s="39">
        <v>50759.069999999992</v>
      </c>
      <c r="S67" s="41">
        <v>59140.499999999993</v>
      </c>
      <c r="T67" s="41">
        <v>50990.51</v>
      </c>
      <c r="U67" s="16">
        <f t="shared" ref="U67:U78" si="12">T67-S67</f>
        <v>-8149.9899999999907</v>
      </c>
      <c r="V67" s="45">
        <f t="shared" ref="V67:V81" si="13">U67/S67</f>
        <v>-0.1378072556031821</v>
      </c>
    </row>
    <row r="68" spans="1:22" x14ac:dyDescent="0.2">
      <c r="A68" s="3">
        <v>602500</v>
      </c>
      <c r="B68" s="3" t="s">
        <v>336</v>
      </c>
      <c r="C68" s="1">
        <v>626100</v>
      </c>
      <c r="D68" s="1" t="s">
        <v>56</v>
      </c>
      <c r="E68" s="22">
        <v>17605.11</v>
      </c>
      <c r="F68" s="22">
        <v>19431.949999999997</v>
      </c>
      <c r="G68" s="22">
        <v>-883.9</v>
      </c>
      <c r="H68" s="22">
        <v>1681.27</v>
      </c>
      <c r="I68" s="22">
        <v>1549.7000000000003</v>
      </c>
      <c r="J68" s="22">
        <v>-79.079999999999472</v>
      </c>
      <c r="K68" s="22">
        <v>-2992.72</v>
      </c>
      <c r="L68" s="22">
        <v>-741.03000000000009</v>
      </c>
      <c r="M68" s="22">
        <v>3115.2200000000003</v>
      </c>
      <c r="N68" s="42">
        <v>-925.69999999999993</v>
      </c>
      <c r="O68" s="48">
        <f>151.58</f>
        <v>151.58000000000001</v>
      </c>
      <c r="P68" s="48">
        <v>-84.930000000000177</v>
      </c>
      <c r="Q68" s="49">
        <v>87.219999999999857</v>
      </c>
      <c r="R68" s="39">
        <v>1195.4099999999999</v>
      </c>
      <c r="S68" s="41">
        <v>-2757.4700000000007</v>
      </c>
      <c r="T68" s="41">
        <v>3924.2900000000013</v>
      </c>
      <c r="U68" s="16">
        <f t="shared" si="12"/>
        <v>6681.760000000002</v>
      </c>
      <c r="V68" s="45">
        <f t="shared" si="13"/>
        <v>-2.423148755924815</v>
      </c>
    </row>
    <row r="69" spans="1:22" x14ac:dyDescent="0.2">
      <c r="A69" s="3">
        <v>602100</v>
      </c>
      <c r="B69" s="3" t="s">
        <v>57</v>
      </c>
      <c r="C69" s="1">
        <v>626110</v>
      </c>
      <c r="D69" s="1" t="s">
        <v>57</v>
      </c>
      <c r="E69" s="22">
        <v>4076.5600000000004</v>
      </c>
      <c r="F69" s="22">
        <v>4101.1599999999989</v>
      </c>
      <c r="G69" s="22">
        <v>5306.35</v>
      </c>
      <c r="H69" s="22">
        <v>5470.2100000000009</v>
      </c>
      <c r="I69" s="22">
        <v>5646.2800000000016</v>
      </c>
      <c r="J69" s="22">
        <v>5789.6299999999992</v>
      </c>
      <c r="K69" s="22">
        <v>5881.49</v>
      </c>
      <c r="L69" s="22">
        <v>5710.4700000000021</v>
      </c>
      <c r="M69" s="22">
        <v>5334.8499999999995</v>
      </c>
      <c r="N69" s="42">
        <v>4918.66</v>
      </c>
      <c r="O69" s="48">
        <f>5227.64</f>
        <v>5227.6400000000003</v>
      </c>
      <c r="P69" s="48">
        <v>4894.09</v>
      </c>
      <c r="Q69" s="49">
        <v>4543.76</v>
      </c>
      <c r="R69" s="39">
        <v>7660.3100000000013</v>
      </c>
      <c r="S69" s="41">
        <v>10946.760000000002</v>
      </c>
      <c r="T69" s="41">
        <v>11102.11</v>
      </c>
      <c r="U69" s="16">
        <f t="shared" si="12"/>
        <v>155.34999999999854</v>
      </c>
      <c r="V69" s="45">
        <f t="shared" si="13"/>
        <v>1.4191413715108262E-2</v>
      </c>
    </row>
    <row r="70" spans="1:22" x14ac:dyDescent="0.2">
      <c r="A70" s="3">
        <v>602101</v>
      </c>
      <c r="B70" s="3" t="s">
        <v>58</v>
      </c>
      <c r="C70" s="1">
        <v>626120</v>
      </c>
      <c r="D70" s="1" t="s">
        <v>58</v>
      </c>
      <c r="E70" s="22">
        <v>787902.88</v>
      </c>
      <c r="F70" s="22">
        <v>868302.44000000006</v>
      </c>
      <c r="G70" s="22">
        <v>991046</v>
      </c>
      <c r="H70" s="22">
        <v>1023764.0099999999</v>
      </c>
      <c r="I70" s="22">
        <v>963023.69000000006</v>
      </c>
      <c r="J70" s="22">
        <v>1038102.9199999999</v>
      </c>
      <c r="K70" s="22">
        <v>1120866.4700000002</v>
      </c>
      <c r="L70" s="22">
        <v>1100730.01</v>
      </c>
      <c r="M70" s="22">
        <v>1194700.9700000002</v>
      </c>
      <c r="N70" s="42">
        <v>1219544.93</v>
      </c>
      <c r="O70" s="48">
        <f>1378907.66</f>
        <v>1378907.66</v>
      </c>
      <c r="P70" s="48">
        <v>1368222.09</v>
      </c>
      <c r="Q70" s="49">
        <v>1267339.4500000002</v>
      </c>
      <c r="R70" s="39">
        <v>2070250.8799999997</v>
      </c>
      <c r="S70" s="41">
        <v>2481958.4800000004</v>
      </c>
      <c r="T70" s="41">
        <v>2380161.9700000011</v>
      </c>
      <c r="U70" s="16">
        <f t="shared" si="12"/>
        <v>-101796.50999999931</v>
      </c>
      <c r="V70" s="45">
        <f t="shared" si="13"/>
        <v>-4.1014590219897347E-2</v>
      </c>
    </row>
    <row r="71" spans="1:22" x14ac:dyDescent="0.2">
      <c r="A71" s="3">
        <v>602200</v>
      </c>
      <c r="B71" s="3" t="s">
        <v>59</v>
      </c>
      <c r="C71" s="1">
        <v>626130</v>
      </c>
      <c r="D71" s="1" t="s">
        <v>59</v>
      </c>
      <c r="E71" s="22">
        <v>12232.220000000001</v>
      </c>
      <c r="F71" s="22">
        <v>5134.5200000000004</v>
      </c>
      <c r="G71" s="22">
        <v>4545.2400000000007</v>
      </c>
      <c r="H71" s="22">
        <v>5484.91</v>
      </c>
      <c r="I71" s="22">
        <v>12888.259999999998</v>
      </c>
      <c r="J71" s="22">
        <v>8059.33</v>
      </c>
      <c r="K71" s="22">
        <v>9946.8300000000017</v>
      </c>
      <c r="L71" s="22">
        <v>12794.380000000003</v>
      </c>
      <c r="M71" s="22">
        <v>5919.27</v>
      </c>
      <c r="N71" s="42">
        <v>7402.8300000000008</v>
      </c>
      <c r="O71" s="48">
        <f>6363.17</f>
        <v>6363.17</v>
      </c>
      <c r="P71" s="48">
        <v>3753.87</v>
      </c>
      <c r="Q71" s="49">
        <v>12883.69</v>
      </c>
      <c r="R71" s="39">
        <v>19121.18</v>
      </c>
      <c r="S71" s="41">
        <v>291.88</v>
      </c>
      <c r="T71" s="41">
        <v>5361.2500000000009</v>
      </c>
      <c r="U71" s="16">
        <f t="shared" si="12"/>
        <v>5069.3700000000008</v>
      </c>
      <c r="V71" s="45">
        <f t="shared" si="13"/>
        <v>17.36799369603947</v>
      </c>
    </row>
    <row r="72" spans="1:22" x14ac:dyDescent="0.2">
      <c r="A72" s="3">
        <v>602300</v>
      </c>
      <c r="B72" s="3" t="s">
        <v>60</v>
      </c>
      <c r="C72" s="1">
        <v>626141</v>
      </c>
      <c r="D72" s="1" t="s">
        <v>60</v>
      </c>
      <c r="E72" s="22">
        <v>278657.25000000006</v>
      </c>
      <c r="F72" s="22">
        <v>290766.43</v>
      </c>
      <c r="G72" s="22">
        <v>311704.14000000007</v>
      </c>
      <c r="H72" s="22">
        <v>330217.33</v>
      </c>
      <c r="I72" s="22">
        <v>285124.29000000004</v>
      </c>
      <c r="J72" s="22">
        <v>305786.54000000004</v>
      </c>
      <c r="K72" s="22">
        <v>297343.18</v>
      </c>
      <c r="L72" s="22">
        <v>305319.95</v>
      </c>
      <c r="M72" s="22">
        <v>305320.24999999994</v>
      </c>
      <c r="N72" s="42">
        <v>305494.03000000009</v>
      </c>
      <c r="O72" s="48">
        <f>325774.1</f>
        <v>325774.09999999998</v>
      </c>
      <c r="P72" s="48">
        <v>307923.84000000003</v>
      </c>
      <c r="Q72" s="49">
        <v>299837.25999999995</v>
      </c>
      <c r="R72" s="39">
        <v>534113.09</v>
      </c>
      <c r="S72" s="41">
        <v>572694.57000000007</v>
      </c>
      <c r="T72" s="41">
        <v>564992.43000000005</v>
      </c>
      <c r="U72" s="16">
        <f t="shared" si="12"/>
        <v>-7702.140000000014</v>
      </c>
      <c r="V72" s="45">
        <f t="shared" si="13"/>
        <v>-1.3448948887362444E-2</v>
      </c>
    </row>
    <row r="73" spans="1:22" x14ac:dyDescent="0.2">
      <c r="A73" s="3">
        <v>602301</v>
      </c>
      <c r="B73" s="3" t="s">
        <v>61</v>
      </c>
      <c r="C73" s="1">
        <v>626142</v>
      </c>
      <c r="D73" s="1" t="s">
        <v>61</v>
      </c>
      <c r="E73" s="22">
        <v>66028.420000000013</v>
      </c>
      <c r="F73" s="22">
        <v>68842.709999999992</v>
      </c>
      <c r="G73" s="22">
        <v>73803.429999999993</v>
      </c>
      <c r="H73" s="22">
        <v>78267.520000000004</v>
      </c>
      <c r="I73" s="22">
        <v>67144.26999999999</v>
      </c>
      <c r="J73" s="22">
        <v>72140.489999999991</v>
      </c>
      <c r="K73" s="22">
        <v>70181.340000000011</v>
      </c>
      <c r="L73" s="22">
        <v>72142.040000000008</v>
      </c>
      <c r="M73" s="22">
        <v>71735.7</v>
      </c>
      <c r="N73" s="42">
        <v>71823.11</v>
      </c>
      <c r="O73" s="48">
        <f>76809.12</f>
        <v>76809.119999999995</v>
      </c>
      <c r="P73" s="48">
        <v>72495.180000000008</v>
      </c>
      <c r="Q73" s="49">
        <v>70596.549999999988</v>
      </c>
      <c r="R73" s="39">
        <v>126080.93000000001</v>
      </c>
      <c r="S73" s="41">
        <v>135439.57999999996</v>
      </c>
      <c r="T73" s="41">
        <v>132532.40000000002</v>
      </c>
      <c r="U73" s="16">
        <f t="shared" si="12"/>
        <v>-2907.1799999999348</v>
      </c>
      <c r="V73" s="45">
        <f t="shared" si="13"/>
        <v>-2.1464774181963173E-2</v>
      </c>
    </row>
    <row r="74" spans="1:22" x14ac:dyDescent="0.2">
      <c r="A74" s="3">
        <v>602001</v>
      </c>
      <c r="B74" s="3" t="s">
        <v>62</v>
      </c>
      <c r="C74" s="1">
        <v>626171</v>
      </c>
      <c r="D74" s="1" t="s">
        <v>62</v>
      </c>
      <c r="E74" s="22">
        <v>1468284.3</v>
      </c>
      <c r="F74" s="22">
        <v>1472756.63</v>
      </c>
      <c r="G74" s="22">
        <v>1503855.9</v>
      </c>
      <c r="H74" s="22">
        <v>1632685.8699999999</v>
      </c>
      <c r="I74" s="22">
        <v>1604722.0299999998</v>
      </c>
      <c r="J74" s="22">
        <v>1750292.26</v>
      </c>
      <c r="K74" s="22">
        <v>1703864.5999999999</v>
      </c>
      <c r="L74" s="22">
        <v>2051607.7500000002</v>
      </c>
      <c r="M74" s="22">
        <v>2387311.9099999997</v>
      </c>
      <c r="N74" s="42">
        <v>2326879.35</v>
      </c>
      <c r="O74" s="48">
        <f>2644307.45</f>
        <v>2644307.4500000002</v>
      </c>
      <c r="P74" s="48">
        <v>2523150.63</v>
      </c>
      <c r="Q74" s="49">
        <v>2506684.41</v>
      </c>
      <c r="R74" s="39">
        <v>5557093.7200000007</v>
      </c>
      <c r="S74" s="41">
        <v>5855405.7800000003</v>
      </c>
      <c r="T74" s="41">
        <v>5921180.419999999</v>
      </c>
      <c r="U74" s="16">
        <f t="shared" si="12"/>
        <v>65774.639999998733</v>
      </c>
      <c r="V74" s="45">
        <f t="shared" si="13"/>
        <v>1.1233148046658302E-2</v>
      </c>
    </row>
    <row r="75" spans="1:22" x14ac:dyDescent="0.2">
      <c r="A75" s="3">
        <v>602000</v>
      </c>
      <c r="B75" s="3" t="s">
        <v>63</v>
      </c>
      <c r="C75" s="1">
        <v>626172</v>
      </c>
      <c r="D75" s="1" t="s">
        <v>63</v>
      </c>
      <c r="E75" s="22">
        <v>24826.14</v>
      </c>
      <c r="F75" s="22">
        <v>46729.49</v>
      </c>
      <c r="G75" s="22">
        <v>67431.06</v>
      </c>
      <c r="H75" s="22">
        <v>63073.54</v>
      </c>
      <c r="I75" s="22">
        <v>66589.679999999993</v>
      </c>
      <c r="J75" s="22">
        <v>67474.040000000008</v>
      </c>
      <c r="K75" s="22">
        <v>56886.559999999998</v>
      </c>
      <c r="L75" s="22">
        <v>63636.369999999995</v>
      </c>
      <c r="M75" s="22">
        <v>77965.16</v>
      </c>
      <c r="N75" s="42">
        <v>65773.3</v>
      </c>
      <c r="O75" s="48">
        <f>82101.27</f>
        <v>82101.27</v>
      </c>
      <c r="P75" s="48">
        <v>90138.859999999986</v>
      </c>
      <c r="Q75" s="49">
        <v>112386.15</v>
      </c>
      <c r="R75" s="39">
        <v>141366.28000000003</v>
      </c>
      <c r="S75" s="41">
        <v>132210.83000000002</v>
      </c>
      <c r="T75" s="41">
        <v>113831.58</v>
      </c>
      <c r="U75" s="16">
        <f t="shared" si="12"/>
        <v>-18379.250000000015</v>
      </c>
      <c r="V75" s="45">
        <f t="shared" si="13"/>
        <v>-0.13901470855299836</v>
      </c>
    </row>
    <row r="76" spans="1:22" x14ac:dyDescent="0.2">
      <c r="A76" s="3">
        <v>602501</v>
      </c>
      <c r="B76" s="3" t="s">
        <v>434</v>
      </c>
      <c r="C76" s="1">
        <v>626200</v>
      </c>
      <c r="D76" s="1" t="s">
        <v>65</v>
      </c>
      <c r="E76" s="22">
        <v>-58407.98</v>
      </c>
      <c r="F76" s="22">
        <v>-26352.760000000002</v>
      </c>
      <c r="G76" s="22">
        <v>17986.73</v>
      </c>
      <c r="H76" s="22">
        <v>-9619.69</v>
      </c>
      <c r="I76" s="22">
        <v>8288.3700000000008</v>
      </c>
      <c r="J76" s="22">
        <v>-12824.07</v>
      </c>
      <c r="K76" s="22">
        <v>64806.85</v>
      </c>
      <c r="L76" s="22">
        <v>56949.119999999995</v>
      </c>
      <c r="M76" s="22">
        <v>-12577.310000000001</v>
      </c>
      <c r="N76" s="42">
        <v>14297.46</v>
      </c>
      <c r="O76" s="49">
        <v>-6143.57</v>
      </c>
      <c r="P76" s="49">
        <v>4967.6699999999992</v>
      </c>
      <c r="Q76" s="49">
        <v>51466.25</v>
      </c>
      <c r="R76" s="39">
        <v>46300.310000000005</v>
      </c>
      <c r="S76" s="41">
        <v>53383.56</v>
      </c>
      <c r="T76" s="41">
        <v>98037.88</v>
      </c>
      <c r="U76" s="16">
        <f t="shared" si="12"/>
        <v>44654.320000000007</v>
      </c>
      <c r="V76" s="45">
        <f t="shared" si="13"/>
        <v>0.83648074425909413</v>
      </c>
    </row>
    <row r="77" spans="1:22" x14ac:dyDescent="0.2">
      <c r="A77" s="3">
        <v>602502</v>
      </c>
      <c r="B77" s="3" t="s">
        <v>66</v>
      </c>
      <c r="C77" s="1">
        <v>626210</v>
      </c>
      <c r="D77" s="1" t="s">
        <v>66</v>
      </c>
      <c r="E77" s="22"/>
      <c r="F77" s="22"/>
      <c r="G77" s="22"/>
      <c r="H77" s="22">
        <v>88045.96</v>
      </c>
      <c r="I77" s="22"/>
      <c r="J77" s="22"/>
      <c r="K77" s="22"/>
      <c r="L77" s="22"/>
      <c r="M77" s="22">
        <v>29678.420000000002</v>
      </c>
      <c r="O77" s="49"/>
      <c r="P77" s="49"/>
      <c r="Q77" s="49"/>
      <c r="R77" s="49"/>
      <c r="S77" s="41"/>
      <c r="T77" s="41"/>
      <c r="U77" s="16">
        <f t="shared" si="12"/>
        <v>0</v>
      </c>
      <c r="V77" s="45" t="e">
        <f t="shared" si="13"/>
        <v>#DIV/0!</v>
      </c>
    </row>
    <row r="78" spans="1:22" x14ac:dyDescent="0.2">
      <c r="A78" s="3">
        <v>602503</v>
      </c>
      <c r="B78" s="3" t="s">
        <v>67</v>
      </c>
      <c r="C78" s="1">
        <v>626300</v>
      </c>
      <c r="D78" s="1" t="s">
        <v>67</v>
      </c>
      <c r="E78" s="22">
        <v>1633.22</v>
      </c>
      <c r="F78" s="22">
        <v>7030.1999999999989</v>
      </c>
      <c r="G78" s="22">
        <v>2318.4500000000003</v>
      </c>
      <c r="H78" s="22">
        <v>-473.23999999999978</v>
      </c>
      <c r="I78" s="22">
        <v>-1462.1600000000003</v>
      </c>
      <c r="J78" s="22">
        <v>4563.82</v>
      </c>
      <c r="K78" s="22">
        <v>6654.44</v>
      </c>
      <c r="L78" s="22">
        <v>-3362.8199999999997</v>
      </c>
      <c r="M78" s="22">
        <v>3574.1299999999997</v>
      </c>
      <c r="N78" s="42">
        <v>3398.9600000000005</v>
      </c>
      <c r="O78" s="48">
        <v>1378.66</v>
      </c>
      <c r="P78" s="48">
        <v>21936.87</v>
      </c>
      <c r="Q78" s="49">
        <v>19435.97</v>
      </c>
      <c r="R78" s="39">
        <v>-27106.38</v>
      </c>
      <c r="S78" s="41">
        <v>6941.39</v>
      </c>
      <c r="T78" s="41">
        <v>13380.480000000001</v>
      </c>
      <c r="U78" s="16">
        <f t="shared" si="12"/>
        <v>6439.0900000000011</v>
      </c>
      <c r="V78" s="45">
        <f t="shared" si="13"/>
        <v>0.92763697184569671</v>
      </c>
    </row>
    <row r="79" spans="1:22" x14ac:dyDescent="0.2">
      <c r="C79" s="1"/>
      <c r="D79" s="5" t="s">
        <v>231</v>
      </c>
      <c r="E79" s="6">
        <f t="shared" ref="E79:N79" si="14">SUM(E67:E78)</f>
        <v>2639948.6600000006</v>
      </c>
      <c r="F79" s="6">
        <f t="shared" si="14"/>
        <v>2792852.2500000005</v>
      </c>
      <c r="G79" s="6">
        <f t="shared" si="14"/>
        <v>3021912.27</v>
      </c>
      <c r="H79" s="6">
        <f t="shared" si="14"/>
        <v>3268030.86</v>
      </c>
      <c r="I79" s="6">
        <f t="shared" si="14"/>
        <v>3060681.95</v>
      </c>
      <c r="J79" s="6">
        <f t="shared" si="14"/>
        <v>3292365.4699999997</v>
      </c>
      <c r="K79" s="6">
        <f t="shared" si="14"/>
        <v>3390358.2900000005</v>
      </c>
      <c r="L79" s="6">
        <f t="shared" si="14"/>
        <v>3716178.3400000003</v>
      </c>
      <c r="M79" s="6">
        <f t="shared" si="14"/>
        <v>4119256.28</v>
      </c>
      <c r="N79" s="6">
        <f t="shared" si="14"/>
        <v>4072398.83</v>
      </c>
      <c r="O79" s="6">
        <f t="shared" ref="O79:T79" si="15">SUM(O67:O78)</f>
        <v>4551771.1099999994</v>
      </c>
      <c r="P79" s="6">
        <f t="shared" si="15"/>
        <v>4429630.99</v>
      </c>
      <c r="Q79" s="6">
        <f t="shared" si="15"/>
        <v>4373974.63</v>
      </c>
      <c r="R79" s="6">
        <f t="shared" si="15"/>
        <v>8526834.7999999989</v>
      </c>
      <c r="S79" s="6">
        <f t="shared" si="15"/>
        <v>9305655.8600000031</v>
      </c>
      <c r="T79" s="6">
        <f t="shared" si="15"/>
        <v>9295495.3200000022</v>
      </c>
      <c r="U79" s="17">
        <f>SUM(U67:U78)</f>
        <v>-10160.540000000528</v>
      </c>
      <c r="V79" s="45">
        <f t="shared" si="13"/>
        <v>-1.091867156153411E-3</v>
      </c>
    </row>
    <row r="80" spans="1:22" x14ac:dyDescent="0.2">
      <c r="C80" s="1"/>
      <c r="D80" s="1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8"/>
      <c r="V80" s="45"/>
    </row>
    <row r="81" spans="1:22" x14ac:dyDescent="0.2">
      <c r="C81" s="1"/>
      <c r="D81" s="5" t="s">
        <v>232</v>
      </c>
      <c r="E81" s="7">
        <f t="shared" ref="E81:U81" si="16">E26+E66+E79</f>
        <v>7435844.6199999992</v>
      </c>
      <c r="F81" s="7">
        <f t="shared" si="16"/>
        <v>7679156.0700000003</v>
      </c>
      <c r="G81" s="7">
        <f t="shared" si="16"/>
        <v>8285117.2799999993</v>
      </c>
      <c r="H81" s="7">
        <f t="shared" si="16"/>
        <v>8980027.0099999998</v>
      </c>
      <c r="I81" s="7">
        <f t="shared" si="16"/>
        <v>7858815.8900000015</v>
      </c>
      <c r="J81" s="7">
        <f t="shared" si="16"/>
        <v>8480896.629999999</v>
      </c>
      <c r="K81" s="7">
        <f t="shared" si="16"/>
        <v>8501404.9000000004</v>
      </c>
      <c r="L81" s="7">
        <f t="shared" si="16"/>
        <v>8945511.7600000016</v>
      </c>
      <c r="M81" s="7">
        <f t="shared" si="16"/>
        <v>9297631.209999999</v>
      </c>
      <c r="N81" s="7">
        <f t="shared" si="16"/>
        <v>9481280.8300000001</v>
      </c>
      <c r="O81" s="7">
        <f t="shared" si="16"/>
        <v>10268068.829999998</v>
      </c>
      <c r="P81" s="7">
        <f t="shared" si="16"/>
        <v>9849879.2000000011</v>
      </c>
      <c r="Q81" s="7">
        <f t="shared" si="16"/>
        <v>9575170.3600000013</v>
      </c>
      <c r="R81" s="7">
        <f t="shared" si="16"/>
        <v>17932894.209999997</v>
      </c>
      <c r="S81" s="7">
        <f t="shared" si="16"/>
        <v>19435191.890000001</v>
      </c>
      <c r="T81" s="7">
        <f t="shared" si="16"/>
        <v>19203774.910000004</v>
      </c>
      <c r="U81" s="19">
        <f t="shared" si="16"/>
        <v>-231416.98000000036</v>
      </c>
      <c r="V81" s="45">
        <f t="shared" si="13"/>
        <v>-1.1907110632597945E-2</v>
      </c>
    </row>
    <row r="82" spans="1:22" x14ac:dyDescent="0.2">
      <c r="A82" s="3">
        <v>703000</v>
      </c>
      <c r="B82" s="3" t="s">
        <v>353</v>
      </c>
      <c r="C82" s="1">
        <v>711100</v>
      </c>
      <c r="D82" s="1" t="s">
        <v>68</v>
      </c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6">
        <f t="shared" ref="U82:U145" si="17">T82-S82</f>
        <v>0</v>
      </c>
      <c r="V82" s="45" t="e">
        <f t="shared" ref="V82:V145" si="18">U82/S82</f>
        <v>#DIV/0!</v>
      </c>
    </row>
    <row r="83" spans="1:22" x14ac:dyDescent="0.2">
      <c r="A83" s="3">
        <v>704600</v>
      </c>
      <c r="B83" s="3" t="s">
        <v>355</v>
      </c>
      <c r="C83" s="1">
        <v>711500</v>
      </c>
      <c r="D83" s="1" t="s">
        <v>69</v>
      </c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6">
        <f t="shared" si="17"/>
        <v>0</v>
      </c>
      <c r="V83" s="45" t="e">
        <f t="shared" si="18"/>
        <v>#DIV/0!</v>
      </c>
    </row>
    <row r="84" spans="1:22" x14ac:dyDescent="0.2">
      <c r="C84" s="37">
        <v>712100</v>
      </c>
      <c r="D84" s="37" t="s">
        <v>266</v>
      </c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39">
        <v>7149.75</v>
      </c>
      <c r="S84" s="39"/>
      <c r="T84" s="39"/>
      <c r="U84" s="16">
        <f t="shared" si="17"/>
        <v>0</v>
      </c>
      <c r="V84" s="45" t="e">
        <f t="shared" si="18"/>
        <v>#DIV/0!</v>
      </c>
    </row>
    <row r="85" spans="1:22" x14ac:dyDescent="0.2">
      <c r="A85" s="3">
        <v>702106</v>
      </c>
      <c r="B85" s="3" t="s">
        <v>351</v>
      </c>
      <c r="C85" s="1">
        <v>713100</v>
      </c>
      <c r="D85" s="1" t="s">
        <v>70</v>
      </c>
      <c r="E85" s="22">
        <v>283.5</v>
      </c>
      <c r="F85" s="22">
        <v>224</v>
      </c>
      <c r="G85" s="22">
        <v>10</v>
      </c>
      <c r="H85" s="22">
        <v>540</v>
      </c>
      <c r="I85" s="22"/>
      <c r="J85" s="22"/>
      <c r="K85" s="22">
        <v>465.40000000000003</v>
      </c>
      <c r="L85" s="22">
        <v>650</v>
      </c>
      <c r="M85" s="22"/>
      <c r="N85" s="43">
        <v>548</v>
      </c>
      <c r="O85" s="42">
        <v>331.2</v>
      </c>
      <c r="P85" s="42">
        <v>274.2</v>
      </c>
      <c r="Q85" s="42"/>
      <c r="R85" s="39">
        <v>19278.170000000002</v>
      </c>
      <c r="S85" s="41">
        <v>11615.82</v>
      </c>
      <c r="T85" s="41">
        <v>24775.55</v>
      </c>
      <c r="U85" s="16">
        <f t="shared" si="17"/>
        <v>13159.73</v>
      </c>
      <c r="V85" s="45">
        <f t="shared" si="18"/>
        <v>1.1329144218832592</v>
      </c>
    </row>
    <row r="86" spans="1:22" x14ac:dyDescent="0.2">
      <c r="A86" s="3">
        <v>702106</v>
      </c>
      <c r="B86" s="3" t="s">
        <v>351</v>
      </c>
      <c r="C86" s="1">
        <v>713101</v>
      </c>
      <c r="D86" s="1" t="s">
        <v>71</v>
      </c>
      <c r="O86" s="42"/>
      <c r="P86" s="42"/>
      <c r="Q86" s="42"/>
      <c r="R86" s="42"/>
      <c r="S86" s="42"/>
      <c r="T86" s="42"/>
      <c r="U86" s="16">
        <f t="shared" si="17"/>
        <v>0</v>
      </c>
      <c r="V86" s="45" t="e">
        <f t="shared" si="18"/>
        <v>#DIV/0!</v>
      </c>
    </row>
    <row r="87" spans="1:22" x14ac:dyDescent="0.2">
      <c r="A87" s="3">
        <v>702109</v>
      </c>
      <c r="B87" s="3" t="s">
        <v>72</v>
      </c>
      <c r="C87" s="1">
        <v>713115</v>
      </c>
      <c r="D87" s="1" t="s">
        <v>72</v>
      </c>
      <c r="U87" s="16">
        <f t="shared" si="17"/>
        <v>0</v>
      </c>
      <c r="V87" s="45" t="e">
        <f t="shared" si="18"/>
        <v>#DIV/0!</v>
      </c>
    </row>
    <row r="88" spans="1:22" x14ac:dyDescent="0.2">
      <c r="A88" s="3">
        <v>702111</v>
      </c>
      <c r="B88" s="3" t="s">
        <v>352</v>
      </c>
      <c r="C88" s="1">
        <v>713125</v>
      </c>
      <c r="D88" s="1" t="s">
        <v>73</v>
      </c>
      <c r="E88" s="22">
        <v>127</v>
      </c>
      <c r="F88" s="22"/>
      <c r="G88" s="22"/>
      <c r="H88" s="22"/>
      <c r="I88" s="22"/>
      <c r="J88" s="22"/>
      <c r="K88" s="22"/>
      <c r="L88" s="22"/>
      <c r="M88" s="22"/>
      <c r="N88" s="22"/>
      <c r="O88" s="22"/>
      <c r="P88" s="22"/>
      <c r="Q88" s="22"/>
      <c r="R88" s="22"/>
      <c r="S88" s="41">
        <v>667.30000000000007</v>
      </c>
      <c r="T88" s="41"/>
      <c r="U88" s="16">
        <f t="shared" si="17"/>
        <v>-667.30000000000007</v>
      </c>
      <c r="V88" s="45">
        <f t="shared" si="18"/>
        <v>-1</v>
      </c>
    </row>
    <row r="89" spans="1:22" x14ac:dyDescent="0.2">
      <c r="A89" s="72">
        <v>702112</v>
      </c>
      <c r="B89" s="72" t="s">
        <v>438</v>
      </c>
      <c r="C89" s="72">
        <v>713150</v>
      </c>
      <c r="D89" s="72" t="s">
        <v>258</v>
      </c>
      <c r="E89" s="22"/>
      <c r="F89" s="22"/>
      <c r="G89" s="22"/>
      <c r="H89" s="22"/>
      <c r="I89" s="22"/>
      <c r="J89" s="22"/>
      <c r="K89" s="22"/>
      <c r="L89" s="22"/>
      <c r="M89" s="22"/>
      <c r="N89" s="22"/>
      <c r="O89" s="22"/>
      <c r="P89" s="22"/>
      <c r="Q89" s="22"/>
      <c r="R89" s="22"/>
      <c r="S89" s="41"/>
      <c r="T89" s="41">
        <v>515</v>
      </c>
      <c r="U89" s="16">
        <f t="shared" si="17"/>
        <v>515</v>
      </c>
      <c r="V89" s="45" t="e">
        <f t="shared" si="18"/>
        <v>#DIV/0!</v>
      </c>
    </row>
    <row r="90" spans="1:22" x14ac:dyDescent="0.2">
      <c r="A90" s="3">
        <v>702200</v>
      </c>
      <c r="B90" s="3" t="s">
        <v>74</v>
      </c>
      <c r="C90" s="1">
        <v>713135</v>
      </c>
      <c r="D90" s="1" t="s">
        <v>74</v>
      </c>
      <c r="E90" s="22">
        <v>13224.75</v>
      </c>
      <c r="F90" s="22">
        <v>3308.03</v>
      </c>
      <c r="G90" s="22">
        <v>1161.19</v>
      </c>
      <c r="H90" s="22">
        <v>762.43999999999994</v>
      </c>
      <c r="I90" s="22">
        <v>11163.490000000002</v>
      </c>
      <c r="J90" s="22">
        <v>4770.58</v>
      </c>
      <c r="K90" s="22">
        <v>4503.8500000000004</v>
      </c>
      <c r="L90" s="22">
        <v>18624.02</v>
      </c>
      <c r="M90" s="22">
        <v>11890.02</v>
      </c>
      <c r="N90" s="43">
        <v>9048.2999999999993</v>
      </c>
      <c r="O90" s="42">
        <v>5839.18</v>
      </c>
      <c r="P90" s="42">
        <v>25009.29</v>
      </c>
      <c r="Q90" s="49">
        <v>15334.330000000002</v>
      </c>
      <c r="R90" s="39">
        <v>8369</v>
      </c>
      <c r="S90" s="41">
        <v>24322.32</v>
      </c>
      <c r="T90" s="41">
        <v>17845.990000000002</v>
      </c>
      <c r="U90" s="16">
        <f t="shared" si="17"/>
        <v>-6476.3299999999981</v>
      </c>
      <c r="V90" s="45">
        <f t="shared" si="18"/>
        <v>-0.26627106295780989</v>
      </c>
    </row>
    <row r="91" spans="1:22" x14ac:dyDescent="0.2">
      <c r="A91" s="3">
        <v>702103</v>
      </c>
      <c r="B91" s="3" t="s">
        <v>349</v>
      </c>
      <c r="C91" s="1">
        <v>713140</v>
      </c>
      <c r="D91" s="1" t="s">
        <v>75</v>
      </c>
      <c r="R91" s="36">
        <v>5600</v>
      </c>
      <c r="S91" s="41">
        <v>18.059999999999999</v>
      </c>
      <c r="T91" s="41">
        <v>-18.059999999999999</v>
      </c>
      <c r="U91" s="16">
        <f t="shared" si="17"/>
        <v>-36.119999999999997</v>
      </c>
      <c r="V91" s="45">
        <f t="shared" si="18"/>
        <v>-2</v>
      </c>
    </row>
    <row r="92" spans="1:22" x14ac:dyDescent="0.2">
      <c r="A92" s="3">
        <v>705700</v>
      </c>
      <c r="B92" s="3" t="s">
        <v>437</v>
      </c>
      <c r="C92" s="1">
        <v>713145</v>
      </c>
      <c r="D92" s="1" t="s">
        <v>76</v>
      </c>
      <c r="U92" s="16">
        <f t="shared" si="17"/>
        <v>0</v>
      </c>
      <c r="V92" s="45" t="e">
        <f t="shared" si="18"/>
        <v>#DIV/0!</v>
      </c>
    </row>
    <row r="93" spans="1:22" x14ac:dyDescent="0.2">
      <c r="A93" s="3">
        <v>701000</v>
      </c>
      <c r="B93" s="3" t="s">
        <v>77</v>
      </c>
      <c r="C93" s="1">
        <v>721100</v>
      </c>
      <c r="D93" s="1" t="s">
        <v>77</v>
      </c>
      <c r="U93" s="16">
        <f t="shared" si="17"/>
        <v>0</v>
      </c>
      <c r="V93" s="45" t="e">
        <f t="shared" si="18"/>
        <v>#DIV/0!</v>
      </c>
    </row>
    <row r="94" spans="1:22" x14ac:dyDescent="0.2">
      <c r="A94" s="3">
        <v>701001</v>
      </c>
      <c r="B94" s="3" t="s">
        <v>78</v>
      </c>
      <c r="C94" s="1">
        <v>721105</v>
      </c>
      <c r="D94" s="1" t="s">
        <v>78</v>
      </c>
      <c r="E94" s="22">
        <v>4685.68</v>
      </c>
      <c r="F94" s="22">
        <v>2799.9</v>
      </c>
      <c r="G94" s="22">
        <v>2747.61</v>
      </c>
      <c r="H94" s="22">
        <v>4221.1400000000003</v>
      </c>
      <c r="I94" s="22">
        <v>2114.29</v>
      </c>
      <c r="J94" s="22">
        <v>4717.8700000000008</v>
      </c>
      <c r="K94" s="22">
        <v>805.63</v>
      </c>
      <c r="L94" s="22">
        <v>197.65</v>
      </c>
      <c r="M94" s="22"/>
      <c r="N94" s="43">
        <v>122</v>
      </c>
      <c r="O94" s="22"/>
      <c r="P94" s="22"/>
      <c r="Q94" s="22"/>
      <c r="R94" s="39">
        <v>3331.3500000000004</v>
      </c>
      <c r="S94" s="41">
        <v>9856.49</v>
      </c>
      <c r="T94" s="41">
        <v>20079.66</v>
      </c>
      <c r="U94" s="16">
        <f t="shared" si="17"/>
        <v>10223.17</v>
      </c>
      <c r="V94" s="45">
        <f t="shared" si="18"/>
        <v>1.0372018842407389</v>
      </c>
    </row>
    <row r="95" spans="1:22" x14ac:dyDescent="0.2">
      <c r="A95" s="3">
        <v>701200</v>
      </c>
      <c r="B95" s="3" t="s">
        <v>338</v>
      </c>
      <c r="C95" s="1">
        <v>721110</v>
      </c>
      <c r="D95" s="1" t="s">
        <v>79</v>
      </c>
      <c r="E95" s="22"/>
      <c r="F95" s="22"/>
      <c r="G95" s="22"/>
      <c r="H95" s="22"/>
      <c r="I95" s="22">
        <v>865.2</v>
      </c>
      <c r="J95" s="22">
        <v>4199.07</v>
      </c>
      <c r="K95" s="22">
        <v>1496.74</v>
      </c>
      <c r="L95" s="22">
        <v>21284.14</v>
      </c>
      <c r="M95" s="22">
        <v>26588.67</v>
      </c>
      <c r="N95" s="43">
        <v>4851.22</v>
      </c>
      <c r="O95" s="22"/>
      <c r="P95" s="22"/>
      <c r="Q95" s="22"/>
      <c r="R95" s="22"/>
      <c r="S95" s="22"/>
      <c r="T95" s="22"/>
      <c r="U95" s="16">
        <f t="shared" si="17"/>
        <v>0</v>
      </c>
      <c r="V95" s="45" t="e">
        <f t="shared" si="18"/>
        <v>#DIV/0!</v>
      </c>
    </row>
    <row r="96" spans="1:22" x14ac:dyDescent="0.2">
      <c r="A96" s="3">
        <v>701202</v>
      </c>
      <c r="B96" s="3" t="s">
        <v>80</v>
      </c>
      <c r="C96" s="1">
        <v>721115</v>
      </c>
      <c r="D96" s="1" t="s">
        <v>80</v>
      </c>
      <c r="E96" s="22">
        <v>26354.06</v>
      </c>
      <c r="F96" s="22"/>
      <c r="G96" s="22">
        <v>325</v>
      </c>
      <c r="H96" s="22">
        <v>26736.62</v>
      </c>
      <c r="I96" s="22">
        <v>455</v>
      </c>
      <c r="J96" s="22">
        <v>1695.8500000000001</v>
      </c>
      <c r="K96" s="22">
        <v>1791.23</v>
      </c>
      <c r="L96" s="22">
        <v>419.36</v>
      </c>
      <c r="M96" s="22">
        <v>1353.48</v>
      </c>
      <c r="N96" s="43">
        <v>2829.93</v>
      </c>
      <c r="O96" s="22"/>
      <c r="P96" s="22"/>
      <c r="Q96" s="49">
        <v>714.99</v>
      </c>
      <c r="R96" s="39">
        <v>61345</v>
      </c>
      <c r="S96" s="41">
        <v>1805</v>
      </c>
      <c r="T96" s="41">
        <v>6000</v>
      </c>
      <c r="U96" s="16">
        <f t="shared" si="17"/>
        <v>4195</v>
      </c>
      <c r="V96" s="45">
        <f t="shared" si="18"/>
        <v>2.3240997229916895</v>
      </c>
    </row>
    <row r="97" spans="1:22" x14ac:dyDescent="0.2">
      <c r="A97" s="3">
        <v>701404</v>
      </c>
      <c r="B97" s="3" t="s">
        <v>343</v>
      </c>
      <c r="C97" s="1">
        <v>721120</v>
      </c>
      <c r="D97" s="1" t="s">
        <v>81</v>
      </c>
      <c r="R97" s="39">
        <v>3900</v>
      </c>
      <c r="S97" s="41">
        <v>4500</v>
      </c>
      <c r="T97" s="41">
        <v>1000</v>
      </c>
      <c r="U97" s="16">
        <f t="shared" si="17"/>
        <v>-3500</v>
      </c>
      <c r="V97" s="45">
        <f t="shared" si="18"/>
        <v>-0.77777777777777779</v>
      </c>
    </row>
    <row r="98" spans="1:22" x14ac:dyDescent="0.2">
      <c r="A98" s="3">
        <v>701100</v>
      </c>
      <c r="B98" s="3" t="s">
        <v>337</v>
      </c>
      <c r="C98" s="1">
        <v>721125</v>
      </c>
      <c r="D98" s="1" t="s">
        <v>82</v>
      </c>
      <c r="U98" s="16">
        <f t="shared" si="17"/>
        <v>0</v>
      </c>
      <c r="V98" s="45" t="e">
        <f t="shared" si="18"/>
        <v>#DIV/0!</v>
      </c>
    </row>
    <row r="99" spans="1:22" x14ac:dyDescent="0.2">
      <c r="A99">
        <v>701300</v>
      </c>
      <c r="B99" t="s">
        <v>276</v>
      </c>
      <c r="C99" s="37">
        <v>721130</v>
      </c>
      <c r="D99" s="37" t="s">
        <v>276</v>
      </c>
      <c r="R99" s="39">
        <v>12.75</v>
      </c>
      <c r="S99" s="41">
        <v>12.75</v>
      </c>
      <c r="T99" s="41"/>
      <c r="U99" s="16">
        <f t="shared" si="17"/>
        <v>-12.75</v>
      </c>
      <c r="V99" s="45">
        <f t="shared" si="18"/>
        <v>-1</v>
      </c>
    </row>
    <row r="100" spans="1:22" x14ac:dyDescent="0.2">
      <c r="A100" s="3">
        <v>701301</v>
      </c>
      <c r="B100" s="3" t="s">
        <v>339</v>
      </c>
      <c r="C100" s="1">
        <v>721135</v>
      </c>
      <c r="D100" s="1" t="s">
        <v>83</v>
      </c>
      <c r="T100" s="41">
        <v>15500.61</v>
      </c>
      <c r="U100" s="16">
        <f t="shared" si="17"/>
        <v>15500.61</v>
      </c>
      <c r="V100" s="45" t="e">
        <f t="shared" si="18"/>
        <v>#DIV/0!</v>
      </c>
    </row>
    <row r="101" spans="1:22" x14ac:dyDescent="0.2">
      <c r="A101" s="3">
        <v>701403</v>
      </c>
      <c r="B101" s="3" t="s">
        <v>342</v>
      </c>
      <c r="C101" s="1">
        <v>721140</v>
      </c>
      <c r="D101" s="1" t="s">
        <v>84</v>
      </c>
      <c r="E101" s="22">
        <v>1679.0900000000001</v>
      </c>
      <c r="F101" s="22">
        <v>1138.51</v>
      </c>
      <c r="G101" s="22">
        <v>1090.5700000000002</v>
      </c>
      <c r="H101" s="22">
        <v>1779.46</v>
      </c>
      <c r="I101" s="22">
        <v>10770.880000000001</v>
      </c>
      <c r="J101" s="22">
        <v>15519.650000000001</v>
      </c>
      <c r="K101" s="22">
        <v>18236.75</v>
      </c>
      <c r="L101" s="22">
        <v>4918.68</v>
      </c>
      <c r="M101" s="22">
        <v>29846.68</v>
      </c>
      <c r="N101" s="43">
        <v>10664.020000000002</v>
      </c>
      <c r="O101" s="42">
        <v>11911.64</v>
      </c>
      <c r="P101" s="42">
        <v>6411.8</v>
      </c>
      <c r="Q101" s="49">
        <v>4206.83</v>
      </c>
      <c r="R101" s="39">
        <v>6259.72</v>
      </c>
      <c r="S101" s="41">
        <v>11093.73</v>
      </c>
      <c r="T101" s="41">
        <v>47640.33</v>
      </c>
      <c r="U101" s="16">
        <f t="shared" si="17"/>
        <v>36546.600000000006</v>
      </c>
      <c r="V101" s="45">
        <f t="shared" si="18"/>
        <v>3.2943473475557821</v>
      </c>
    </row>
    <row r="102" spans="1:22" x14ac:dyDescent="0.2">
      <c r="A102" s="3">
        <v>701302</v>
      </c>
      <c r="B102" s="3" t="s">
        <v>340</v>
      </c>
      <c r="C102" s="1">
        <v>721145</v>
      </c>
      <c r="D102" s="1" t="s">
        <v>85</v>
      </c>
      <c r="E102" s="22">
        <v>17500</v>
      </c>
      <c r="F102" s="22">
        <v>82520</v>
      </c>
      <c r="G102" s="22">
        <v>39244.5</v>
      </c>
      <c r="H102" s="22">
        <v>674897.66</v>
      </c>
      <c r="I102" s="22">
        <v>200058.84</v>
      </c>
      <c r="J102" s="22">
        <v>79956</v>
      </c>
      <c r="K102" s="22">
        <v>64883.32</v>
      </c>
      <c r="L102" s="22">
        <v>7565</v>
      </c>
      <c r="M102" s="22">
        <v>11320</v>
      </c>
      <c r="N102" s="43">
        <v>66195.34</v>
      </c>
      <c r="O102" s="42">
        <v>15894.61</v>
      </c>
      <c r="P102" s="42">
        <v>242</v>
      </c>
      <c r="Q102" s="49">
        <v>1012</v>
      </c>
      <c r="R102" s="39">
        <v>138359.44</v>
      </c>
      <c r="S102" s="41">
        <v>24239.690000000002</v>
      </c>
      <c r="T102" s="41">
        <v>212307.13</v>
      </c>
      <c r="U102" s="16">
        <f t="shared" si="17"/>
        <v>188067.44</v>
      </c>
      <c r="V102" s="45">
        <f t="shared" si="18"/>
        <v>7.7586569795240772</v>
      </c>
    </row>
    <row r="103" spans="1:22" x14ac:dyDescent="0.2">
      <c r="A103" s="3">
        <v>701400</v>
      </c>
      <c r="B103" s="3" t="s">
        <v>341</v>
      </c>
      <c r="C103" s="1">
        <v>721146</v>
      </c>
      <c r="D103" s="1" t="s">
        <v>86</v>
      </c>
      <c r="R103" s="39">
        <v>100</v>
      </c>
      <c r="S103" s="39"/>
      <c r="T103" s="39"/>
      <c r="U103" s="16">
        <f t="shared" si="17"/>
        <v>0</v>
      </c>
      <c r="V103" s="45" t="e">
        <f t="shared" si="18"/>
        <v>#DIV/0!</v>
      </c>
    </row>
    <row r="104" spans="1:22" x14ac:dyDescent="0.2">
      <c r="A104" s="3">
        <v>701406</v>
      </c>
      <c r="B104" s="3" t="s">
        <v>345</v>
      </c>
      <c r="C104" s="1">
        <v>721150</v>
      </c>
      <c r="D104" s="1" t="s">
        <v>87</v>
      </c>
      <c r="E104" s="22">
        <v>94.58</v>
      </c>
      <c r="F104" s="22"/>
      <c r="G104" s="22"/>
      <c r="H104" s="22"/>
      <c r="I104" s="22"/>
      <c r="J104" s="22"/>
      <c r="K104" s="22"/>
      <c r="L104" s="22"/>
      <c r="M104" s="22"/>
      <c r="N104" s="22"/>
      <c r="O104" s="22"/>
      <c r="P104" s="22"/>
      <c r="Q104" s="22"/>
      <c r="R104" s="36">
        <v>400</v>
      </c>
      <c r="S104" s="41">
        <v>1300</v>
      </c>
      <c r="T104" s="41"/>
      <c r="U104" s="16">
        <f t="shared" si="17"/>
        <v>-1300</v>
      </c>
      <c r="V104" s="45">
        <f t="shared" si="18"/>
        <v>-1</v>
      </c>
    </row>
    <row r="105" spans="1:22" x14ac:dyDescent="0.2">
      <c r="A105" s="3">
        <v>701405</v>
      </c>
      <c r="B105" s="3" t="s">
        <v>344</v>
      </c>
      <c r="C105" s="1">
        <v>721160</v>
      </c>
      <c r="D105" s="1" t="s">
        <v>88</v>
      </c>
      <c r="U105" s="16">
        <f t="shared" si="17"/>
        <v>0</v>
      </c>
      <c r="V105" s="45" t="e">
        <f t="shared" si="18"/>
        <v>#DIV/0!</v>
      </c>
    </row>
    <row r="106" spans="1:22" x14ac:dyDescent="0.2">
      <c r="A106" s="3">
        <v>701500</v>
      </c>
      <c r="B106" s="3" t="s">
        <v>346</v>
      </c>
      <c r="C106" s="1">
        <v>722100</v>
      </c>
      <c r="D106" s="1" t="s">
        <v>89</v>
      </c>
      <c r="E106" s="22">
        <v>1126.25</v>
      </c>
      <c r="F106" s="22">
        <v>612.5</v>
      </c>
      <c r="G106" s="22"/>
      <c r="H106" s="22"/>
      <c r="I106" s="22"/>
      <c r="J106" s="22"/>
      <c r="K106" s="22"/>
      <c r="L106" s="22"/>
      <c r="M106" s="22"/>
      <c r="N106" s="22">
        <v>40</v>
      </c>
      <c r="O106" s="22"/>
      <c r="P106" s="22">
        <v>284</v>
      </c>
      <c r="Q106" s="22"/>
      <c r="R106" s="39">
        <v>19916.3</v>
      </c>
      <c r="S106" s="41">
        <v>27189.64</v>
      </c>
      <c r="T106" s="41">
        <v>15470.52</v>
      </c>
      <c r="U106" s="16">
        <f t="shared" si="17"/>
        <v>-11719.119999999999</v>
      </c>
      <c r="V106" s="45">
        <f t="shared" si="18"/>
        <v>-0.43101416568957879</v>
      </c>
    </row>
    <row r="107" spans="1:22" x14ac:dyDescent="0.2">
      <c r="A107" s="3">
        <v>701501</v>
      </c>
      <c r="B107" s="3" t="s">
        <v>90</v>
      </c>
      <c r="C107" s="1">
        <v>722105</v>
      </c>
      <c r="D107" s="1" t="s">
        <v>90</v>
      </c>
      <c r="E107" s="22">
        <v>44.75</v>
      </c>
      <c r="F107" s="22">
        <v>180.38</v>
      </c>
      <c r="G107" s="22"/>
      <c r="H107" s="22"/>
      <c r="I107" s="22"/>
      <c r="J107" s="22"/>
      <c r="K107" s="22"/>
      <c r="L107" s="22"/>
      <c r="M107" s="22"/>
      <c r="N107" s="22"/>
      <c r="O107" s="22"/>
      <c r="P107" s="22"/>
      <c r="Q107" s="22"/>
      <c r="R107" s="39">
        <v>1860.69</v>
      </c>
      <c r="S107" s="41">
        <v>3519.7000000000003</v>
      </c>
      <c r="T107" s="41">
        <v>2368.7600000000002</v>
      </c>
      <c r="U107" s="16">
        <f t="shared" si="17"/>
        <v>-1150.94</v>
      </c>
      <c r="V107" s="45">
        <f t="shared" si="18"/>
        <v>-0.32699946018126547</v>
      </c>
    </row>
    <row r="108" spans="1:22" x14ac:dyDescent="0.2">
      <c r="A108" s="3">
        <v>701502</v>
      </c>
      <c r="B108" s="3" t="s">
        <v>91</v>
      </c>
      <c r="C108" s="1">
        <v>722110</v>
      </c>
      <c r="D108" s="1" t="s">
        <v>91</v>
      </c>
      <c r="E108" s="22"/>
      <c r="F108" s="22">
        <v>48</v>
      </c>
      <c r="G108" s="22"/>
      <c r="H108" s="22"/>
      <c r="I108" s="22"/>
      <c r="J108" s="22"/>
      <c r="K108" s="22"/>
      <c r="L108" s="22"/>
      <c r="M108" s="22"/>
      <c r="N108" s="22"/>
      <c r="O108" s="22"/>
      <c r="P108" s="22"/>
      <c r="Q108" s="22"/>
      <c r="R108" s="22"/>
      <c r="S108" s="22"/>
      <c r="T108" s="41">
        <v>120</v>
      </c>
      <c r="U108" s="16">
        <f t="shared" si="17"/>
        <v>120</v>
      </c>
      <c r="V108" s="45" t="e">
        <f t="shared" si="18"/>
        <v>#DIV/0!</v>
      </c>
    </row>
    <row r="109" spans="1:22" x14ac:dyDescent="0.2">
      <c r="A109" s="3">
        <v>701600</v>
      </c>
      <c r="B109" s="3" t="s">
        <v>92</v>
      </c>
      <c r="C109" s="1">
        <v>723100</v>
      </c>
      <c r="D109" s="1" t="s">
        <v>92</v>
      </c>
      <c r="U109" s="16">
        <f t="shared" si="17"/>
        <v>0</v>
      </c>
      <c r="V109" s="45" t="e">
        <f t="shared" si="18"/>
        <v>#DIV/0!</v>
      </c>
    </row>
    <row r="110" spans="1:22" x14ac:dyDescent="0.2">
      <c r="A110" s="3">
        <v>701602</v>
      </c>
      <c r="B110" s="3" t="s">
        <v>93</v>
      </c>
      <c r="C110" s="1">
        <v>723120</v>
      </c>
      <c r="D110" s="1" t="s">
        <v>93</v>
      </c>
      <c r="U110" s="16">
        <f t="shared" si="17"/>
        <v>0</v>
      </c>
      <c r="V110" s="45" t="e">
        <f t="shared" si="18"/>
        <v>#DIV/0!</v>
      </c>
    </row>
    <row r="111" spans="1:22" x14ac:dyDescent="0.2">
      <c r="A111" s="3">
        <v>701603</v>
      </c>
      <c r="B111" s="3" t="s">
        <v>94</v>
      </c>
      <c r="C111" s="1">
        <v>723130</v>
      </c>
      <c r="D111" s="1" t="s">
        <v>94</v>
      </c>
      <c r="E111" s="22">
        <v>301413.73</v>
      </c>
      <c r="F111" s="22">
        <v>282092</v>
      </c>
      <c r="G111" s="22">
        <v>124556</v>
      </c>
      <c r="H111" s="22">
        <v>-9155.6999999999989</v>
      </c>
      <c r="I111" s="22">
        <v>242200</v>
      </c>
      <c r="J111" s="22">
        <v>10956</v>
      </c>
      <c r="K111" s="22">
        <v>750676</v>
      </c>
      <c r="L111" s="22">
        <v>996</v>
      </c>
      <c r="M111" s="22">
        <v>75</v>
      </c>
      <c r="N111" s="43">
        <v>2474.17</v>
      </c>
      <c r="O111" s="42">
        <v>7366.95</v>
      </c>
      <c r="P111" s="42">
        <v>5042</v>
      </c>
      <c r="Q111" s="49">
        <v>5070.5</v>
      </c>
      <c r="R111" s="39">
        <v>21098.050000000003</v>
      </c>
      <c r="S111" s="41">
        <v>23340.46</v>
      </c>
      <c r="T111" s="41">
        <v>2677.09</v>
      </c>
      <c r="U111" s="16">
        <f t="shared" si="17"/>
        <v>-20663.37</v>
      </c>
      <c r="V111" s="45">
        <f t="shared" si="18"/>
        <v>-0.88530260329059496</v>
      </c>
    </row>
    <row r="112" spans="1:22" x14ac:dyDescent="0.2">
      <c r="A112" s="3">
        <v>705102</v>
      </c>
      <c r="B112" s="3" t="s">
        <v>362</v>
      </c>
      <c r="C112" s="1">
        <v>731205</v>
      </c>
      <c r="D112" s="1" t="s">
        <v>95</v>
      </c>
      <c r="U112" s="16">
        <f t="shared" si="17"/>
        <v>0</v>
      </c>
      <c r="V112" s="45" t="e">
        <f t="shared" si="18"/>
        <v>#DIV/0!</v>
      </c>
    </row>
    <row r="113" spans="1:22" x14ac:dyDescent="0.2">
      <c r="A113" s="3">
        <v>705000</v>
      </c>
      <c r="B113" s="3" t="s">
        <v>356</v>
      </c>
      <c r="C113" s="1">
        <v>732100</v>
      </c>
      <c r="D113" s="1" t="s">
        <v>96</v>
      </c>
      <c r="E113" s="22">
        <v>214.14000000000001</v>
      </c>
      <c r="F113" s="22">
        <v>496.01</v>
      </c>
      <c r="G113" s="22"/>
      <c r="H113" s="22">
        <v>1794</v>
      </c>
      <c r="I113" s="22"/>
      <c r="J113" s="22"/>
      <c r="K113" s="22"/>
      <c r="L113" s="22"/>
      <c r="M113" s="22"/>
      <c r="N113" s="22"/>
      <c r="O113" s="22"/>
      <c r="P113" s="22"/>
      <c r="Q113" s="22"/>
      <c r="R113" s="39">
        <v>2909.21</v>
      </c>
      <c r="S113" s="41">
        <v>2568.12</v>
      </c>
      <c r="T113" s="41">
        <v>2518.61</v>
      </c>
      <c r="U113" s="16">
        <f t="shared" si="17"/>
        <v>-49.509999999999764</v>
      </c>
      <c r="V113" s="45">
        <f t="shared" si="18"/>
        <v>-1.9278694142018195E-2</v>
      </c>
    </row>
    <row r="114" spans="1:22" x14ac:dyDescent="0.2">
      <c r="A114" s="3">
        <v>705100</v>
      </c>
      <c r="B114" s="3" t="s">
        <v>360</v>
      </c>
      <c r="C114" s="1">
        <v>732105</v>
      </c>
      <c r="D114" s="1" t="s">
        <v>97</v>
      </c>
      <c r="E114" s="22"/>
      <c r="F114" s="22">
        <v>434.3</v>
      </c>
      <c r="G114" s="22">
        <v>1840.1000000000001</v>
      </c>
      <c r="H114" s="22"/>
      <c r="I114" s="22"/>
      <c r="J114" s="22">
        <v>295</v>
      </c>
      <c r="K114" s="22"/>
      <c r="L114" s="22"/>
      <c r="M114" s="22"/>
      <c r="N114" s="22"/>
      <c r="O114" s="22"/>
      <c r="P114" s="22"/>
      <c r="Q114" s="22"/>
      <c r="R114" s="39">
        <v>7445.52</v>
      </c>
      <c r="S114" s="41">
        <v>13400.279999999999</v>
      </c>
      <c r="T114" s="41">
        <v>-843</v>
      </c>
      <c r="U114" s="16">
        <f t="shared" si="17"/>
        <v>-14243.279999999999</v>
      </c>
      <c r="V114" s="45">
        <f t="shared" si="18"/>
        <v>-1.062909133241992</v>
      </c>
    </row>
    <row r="115" spans="1:22" x14ac:dyDescent="0.2">
      <c r="A115" s="3">
        <v>705300</v>
      </c>
      <c r="B115" s="3" t="s">
        <v>98</v>
      </c>
      <c r="C115" s="1">
        <v>732110</v>
      </c>
      <c r="D115" s="1" t="s">
        <v>98</v>
      </c>
      <c r="R115" s="39">
        <v>500</v>
      </c>
      <c r="S115" s="39"/>
      <c r="T115" s="39"/>
      <c r="U115" s="16">
        <f t="shared" si="17"/>
        <v>0</v>
      </c>
      <c r="V115" s="45" t="e">
        <f t="shared" si="18"/>
        <v>#DIV/0!</v>
      </c>
    </row>
    <row r="116" spans="1:22" x14ac:dyDescent="0.2">
      <c r="A116" s="3">
        <v>705500</v>
      </c>
      <c r="B116" s="3" t="s">
        <v>363</v>
      </c>
      <c r="C116" s="1">
        <v>732115</v>
      </c>
      <c r="D116" s="1" t="s">
        <v>99</v>
      </c>
      <c r="U116" s="16">
        <f t="shared" si="17"/>
        <v>0</v>
      </c>
      <c r="V116" s="45" t="e">
        <f t="shared" si="18"/>
        <v>#DIV/0!</v>
      </c>
    </row>
    <row r="117" spans="1:22" x14ac:dyDescent="0.2">
      <c r="A117" s="72">
        <v>705600</v>
      </c>
      <c r="B117" s="107" t="s">
        <v>496</v>
      </c>
      <c r="C117" s="1"/>
      <c r="D117" s="1"/>
      <c r="T117" s="41">
        <v>585</v>
      </c>
      <c r="U117" s="16">
        <f t="shared" si="17"/>
        <v>585</v>
      </c>
      <c r="V117" s="45" t="e">
        <f t="shared" si="18"/>
        <v>#DIV/0!</v>
      </c>
    </row>
    <row r="118" spans="1:22" x14ac:dyDescent="0.2">
      <c r="A118" s="3">
        <v>705003</v>
      </c>
      <c r="B118" s="3" t="s">
        <v>359</v>
      </c>
      <c r="C118" s="1">
        <v>732200</v>
      </c>
      <c r="D118" s="1" t="s">
        <v>100</v>
      </c>
      <c r="E118" s="22"/>
      <c r="F118" s="22">
        <v>6280.97</v>
      </c>
      <c r="G118" s="22">
        <v>21628.97</v>
      </c>
      <c r="H118" s="22"/>
      <c r="I118" s="22"/>
      <c r="J118" s="22">
        <v>3240</v>
      </c>
      <c r="K118" s="22">
        <v>580</v>
      </c>
      <c r="L118" s="22"/>
      <c r="M118" s="22"/>
      <c r="N118" s="22"/>
      <c r="O118" s="22"/>
      <c r="P118" s="22"/>
      <c r="Q118" s="22"/>
      <c r="R118" s="39">
        <v>11650</v>
      </c>
      <c r="S118" s="41">
        <v>2190</v>
      </c>
      <c r="T118" s="41"/>
      <c r="U118" s="16">
        <f t="shared" si="17"/>
        <v>-2190</v>
      </c>
      <c r="V118" s="45">
        <f t="shared" si="18"/>
        <v>-1</v>
      </c>
    </row>
    <row r="119" spans="1:22" x14ac:dyDescent="0.2">
      <c r="A119" s="3">
        <v>705103</v>
      </c>
      <c r="B119" s="3" t="s">
        <v>440</v>
      </c>
      <c r="C119" s="1">
        <v>732205</v>
      </c>
      <c r="D119" s="1" t="s">
        <v>101</v>
      </c>
      <c r="U119" s="16">
        <f t="shared" si="17"/>
        <v>0</v>
      </c>
      <c r="V119" s="45" t="e">
        <f t="shared" si="18"/>
        <v>#DIV/0!</v>
      </c>
    </row>
    <row r="120" spans="1:22" x14ac:dyDescent="0.2">
      <c r="A120" s="3">
        <v>705801</v>
      </c>
      <c r="B120" s="3" t="s">
        <v>365</v>
      </c>
      <c r="C120" s="1">
        <v>732210</v>
      </c>
      <c r="D120" s="1" t="s">
        <v>102</v>
      </c>
      <c r="U120" s="16">
        <f t="shared" si="17"/>
        <v>0</v>
      </c>
      <c r="V120" s="45" t="e">
        <f t="shared" si="18"/>
        <v>#DIV/0!</v>
      </c>
    </row>
    <row r="121" spans="1:22" x14ac:dyDescent="0.2">
      <c r="A121" s="3">
        <v>705003</v>
      </c>
      <c r="B121" s="3" t="s">
        <v>359</v>
      </c>
      <c r="C121" s="1">
        <v>732215</v>
      </c>
      <c r="D121" s="1" t="s">
        <v>103</v>
      </c>
      <c r="E121" s="22">
        <v>6.25</v>
      </c>
      <c r="F121" s="22">
        <v>143</v>
      </c>
      <c r="G121" s="22"/>
      <c r="H121" s="22"/>
      <c r="I121" s="22"/>
      <c r="J121" s="22"/>
      <c r="K121" s="22"/>
      <c r="L121" s="22"/>
      <c r="M121" s="22"/>
      <c r="N121" s="22"/>
      <c r="O121" s="22"/>
      <c r="P121" s="22"/>
      <c r="Q121" s="22"/>
      <c r="R121" s="22"/>
      <c r="S121" s="22"/>
      <c r="T121" s="22"/>
      <c r="U121" s="16">
        <f t="shared" si="17"/>
        <v>0</v>
      </c>
      <c r="V121" s="45" t="e">
        <f t="shared" si="18"/>
        <v>#DIV/0!</v>
      </c>
    </row>
    <row r="122" spans="1:22" x14ac:dyDescent="0.2">
      <c r="A122" s="3">
        <v>705300</v>
      </c>
      <c r="B122" s="3" t="s">
        <v>98</v>
      </c>
      <c r="C122" s="1">
        <v>732225</v>
      </c>
      <c r="D122" s="1" t="s">
        <v>104</v>
      </c>
      <c r="U122" s="16">
        <f t="shared" si="17"/>
        <v>0</v>
      </c>
      <c r="V122" s="45" t="e">
        <f t="shared" si="18"/>
        <v>#DIV/0!</v>
      </c>
    </row>
    <row r="123" spans="1:22" x14ac:dyDescent="0.2">
      <c r="A123" s="3">
        <v>705800</v>
      </c>
      <c r="B123" s="3" t="s">
        <v>364</v>
      </c>
      <c r="C123" s="1">
        <v>732300</v>
      </c>
      <c r="D123" s="1" t="s">
        <v>105</v>
      </c>
      <c r="T123" s="41">
        <v>980.99</v>
      </c>
      <c r="U123" s="16">
        <f t="shared" si="17"/>
        <v>980.99</v>
      </c>
      <c r="V123" s="45" t="e">
        <f t="shared" si="18"/>
        <v>#DIV/0!</v>
      </c>
    </row>
    <row r="124" spans="1:22" x14ac:dyDescent="0.2">
      <c r="A124" s="3">
        <v>706602</v>
      </c>
      <c r="B124" s="3" t="s">
        <v>388</v>
      </c>
      <c r="C124" s="57">
        <v>741105</v>
      </c>
      <c r="D124" s="57" t="s">
        <v>268</v>
      </c>
      <c r="E124" s="22">
        <v>259664.04</v>
      </c>
      <c r="F124" s="22">
        <v>219720.94</v>
      </c>
      <c r="G124" s="22">
        <v>213867.9</v>
      </c>
      <c r="H124" s="22">
        <v>229785.2</v>
      </c>
      <c r="I124" s="22">
        <v>198375.69</v>
      </c>
      <c r="J124" s="22">
        <v>201818.71</v>
      </c>
      <c r="K124" s="22">
        <v>189450.12</v>
      </c>
      <c r="L124" s="22">
        <v>149147.43</v>
      </c>
      <c r="M124" s="22">
        <v>143195.95000000001</v>
      </c>
      <c r="N124" s="43">
        <v>121630.18000000001</v>
      </c>
      <c r="O124" s="42">
        <v>143146.84</v>
      </c>
      <c r="P124" s="42">
        <v>169687.25</v>
      </c>
      <c r="Q124" s="49">
        <v>232993.64</v>
      </c>
      <c r="R124" s="39">
        <v>314873.51</v>
      </c>
      <c r="S124" s="41">
        <v>269469.59000000003</v>
      </c>
      <c r="T124" s="41">
        <v>459133.89</v>
      </c>
      <c r="U124" s="16">
        <f t="shared" si="17"/>
        <v>189664.3</v>
      </c>
      <c r="V124" s="45">
        <f t="shared" si="18"/>
        <v>0.70384305702175887</v>
      </c>
    </row>
    <row r="125" spans="1:22" x14ac:dyDescent="0.2">
      <c r="A125" s="3">
        <v>706007</v>
      </c>
      <c r="B125" s="3" t="s">
        <v>371</v>
      </c>
      <c r="C125" s="1">
        <v>741100</v>
      </c>
      <c r="D125" s="1" t="s">
        <v>106</v>
      </c>
      <c r="R125" s="39">
        <v>2638</v>
      </c>
      <c r="S125" s="41">
        <v>265.42</v>
      </c>
      <c r="T125" s="41"/>
      <c r="U125" s="16">
        <f t="shared" si="17"/>
        <v>-265.42</v>
      </c>
      <c r="V125" s="45">
        <f t="shared" si="18"/>
        <v>-1</v>
      </c>
    </row>
    <row r="126" spans="1:22" x14ac:dyDescent="0.2">
      <c r="A126" s="3">
        <v>706000</v>
      </c>
      <c r="B126" s="3" t="s">
        <v>366</v>
      </c>
      <c r="C126" s="1">
        <v>741110</v>
      </c>
      <c r="D126" s="1" t="s">
        <v>107</v>
      </c>
      <c r="E126" s="22">
        <v>2865620.2</v>
      </c>
      <c r="F126" s="22">
        <v>3886475.0300000003</v>
      </c>
      <c r="G126" s="22">
        <v>4054043.16</v>
      </c>
      <c r="H126" s="22">
        <v>4001559.96</v>
      </c>
      <c r="I126" s="22">
        <v>4212151.62</v>
      </c>
      <c r="J126" s="22">
        <v>4148358.44</v>
      </c>
      <c r="K126" s="22">
        <v>3892600.08</v>
      </c>
      <c r="L126" s="22">
        <v>2648595.71</v>
      </c>
      <c r="M126" s="22">
        <v>2925062.92</v>
      </c>
      <c r="N126" s="43">
        <v>3213825.22</v>
      </c>
      <c r="O126" s="42">
        <v>2820319.79</v>
      </c>
      <c r="P126" s="42">
        <v>2819327.67</v>
      </c>
      <c r="Q126" s="49">
        <v>2764217.39</v>
      </c>
      <c r="R126" s="39">
        <v>2759623.1</v>
      </c>
      <c r="S126" s="41">
        <v>2692352.5300000003</v>
      </c>
      <c r="T126" s="41">
        <v>2891806.25</v>
      </c>
      <c r="U126" s="16">
        <f t="shared" si="17"/>
        <v>199453.71999999974</v>
      </c>
      <c r="V126" s="45">
        <f t="shared" si="18"/>
        <v>7.4081576531138629E-2</v>
      </c>
    </row>
    <row r="127" spans="1:22" x14ac:dyDescent="0.2">
      <c r="A127" s="3">
        <v>706001</v>
      </c>
      <c r="B127" s="3" t="s">
        <v>367</v>
      </c>
      <c r="C127" s="57">
        <v>741115</v>
      </c>
      <c r="D127" s="57" t="s">
        <v>269</v>
      </c>
      <c r="E127" s="22">
        <v>2917641.08</v>
      </c>
      <c r="F127" s="22">
        <v>2710885.7</v>
      </c>
      <c r="G127" s="22">
        <v>3361183.08</v>
      </c>
      <c r="H127" s="22">
        <v>2655755.86</v>
      </c>
      <c r="I127" s="22">
        <v>2469154.89</v>
      </c>
      <c r="J127" s="22">
        <v>2062723.86</v>
      </c>
      <c r="K127" s="22">
        <v>1886300.44</v>
      </c>
      <c r="L127" s="22">
        <v>2092624.18</v>
      </c>
      <c r="M127" s="22">
        <v>1569420.53</v>
      </c>
      <c r="N127" s="43">
        <v>1157627.58</v>
      </c>
      <c r="O127" s="42">
        <v>1491926.34</v>
      </c>
      <c r="P127" s="42">
        <v>2023143.55</v>
      </c>
      <c r="Q127" s="49">
        <v>1851801.72</v>
      </c>
      <c r="R127" s="39">
        <v>2168932.5699999998</v>
      </c>
      <c r="S127" s="41">
        <v>1784919.76</v>
      </c>
      <c r="T127" s="41">
        <v>1901893.69</v>
      </c>
      <c r="U127" s="16">
        <f t="shared" si="17"/>
        <v>116973.92999999993</v>
      </c>
      <c r="V127" s="45">
        <f t="shared" si="18"/>
        <v>6.5534559379856902E-2</v>
      </c>
    </row>
    <row r="128" spans="1:22" x14ac:dyDescent="0.2">
      <c r="A128" s="3">
        <v>706005</v>
      </c>
      <c r="B128" s="3" t="s">
        <v>369</v>
      </c>
      <c r="C128" s="57">
        <v>741120</v>
      </c>
      <c r="D128" s="57" t="s">
        <v>270</v>
      </c>
      <c r="E128" s="22">
        <v>217986.19</v>
      </c>
      <c r="F128" s="22">
        <v>195836.25</v>
      </c>
      <c r="G128" s="22">
        <v>287350.22000000003</v>
      </c>
      <c r="H128" s="22">
        <v>194668</v>
      </c>
      <c r="I128" s="22">
        <v>118444.45</v>
      </c>
      <c r="J128" s="22">
        <v>241133.89</v>
      </c>
      <c r="K128" s="22">
        <v>170875.68</v>
      </c>
      <c r="L128" s="22">
        <v>174911.95</v>
      </c>
      <c r="M128" s="22">
        <v>187758.2</v>
      </c>
      <c r="N128" s="43">
        <v>192446.47</v>
      </c>
      <c r="O128" s="42">
        <v>194995.79</v>
      </c>
      <c r="P128" s="42">
        <v>198234.22</v>
      </c>
      <c r="Q128" s="49">
        <v>211866.99</v>
      </c>
      <c r="R128" s="39">
        <v>215205.76000000001</v>
      </c>
      <c r="S128" s="41">
        <v>218924.76</v>
      </c>
      <c r="T128" s="41">
        <v>191137.34</v>
      </c>
      <c r="U128" s="16">
        <f t="shared" si="17"/>
        <v>-27787.420000000013</v>
      </c>
      <c r="V128" s="45">
        <f t="shared" si="18"/>
        <v>-0.12692680352829899</v>
      </c>
    </row>
    <row r="129" spans="1:22" x14ac:dyDescent="0.2">
      <c r="A129" s="3">
        <v>706006</v>
      </c>
      <c r="B129" s="3" t="s">
        <v>370</v>
      </c>
      <c r="C129" s="57">
        <v>741125</v>
      </c>
      <c r="D129" s="57" t="s">
        <v>271</v>
      </c>
      <c r="E129" s="22">
        <v>131382.62</v>
      </c>
      <c r="F129" s="22">
        <v>112380.86</v>
      </c>
      <c r="G129" s="22">
        <v>146003.92000000001</v>
      </c>
      <c r="H129" s="22">
        <v>120049.68000000001</v>
      </c>
      <c r="I129" s="22">
        <v>93830.6</v>
      </c>
      <c r="J129" s="22">
        <v>200489.88</v>
      </c>
      <c r="K129" s="22">
        <v>143624.46</v>
      </c>
      <c r="L129" s="22">
        <v>147833.66</v>
      </c>
      <c r="M129" s="22">
        <v>170134.49</v>
      </c>
      <c r="N129" s="43">
        <v>195646.82</v>
      </c>
      <c r="O129" s="42">
        <v>207829.92</v>
      </c>
      <c r="P129" s="42">
        <v>230419.79</v>
      </c>
      <c r="Q129" s="49">
        <v>255252.11000000002</v>
      </c>
      <c r="R129" s="39">
        <v>262465.15000000002</v>
      </c>
      <c r="S129" s="41">
        <v>272084.72000000003</v>
      </c>
      <c r="T129" s="41">
        <v>237185.54</v>
      </c>
      <c r="U129" s="16">
        <f t="shared" si="17"/>
        <v>-34899.180000000022</v>
      </c>
      <c r="V129" s="45">
        <f t="shared" si="18"/>
        <v>-0.12826585778135582</v>
      </c>
    </row>
    <row r="130" spans="1:22" x14ac:dyDescent="0.2">
      <c r="A130" s="3">
        <v>706003</v>
      </c>
      <c r="B130" s="3" t="s">
        <v>368</v>
      </c>
      <c r="C130" s="57">
        <v>742100</v>
      </c>
      <c r="D130" s="57" t="s">
        <v>295</v>
      </c>
      <c r="E130" s="22">
        <v>48601.39</v>
      </c>
      <c r="F130" s="22">
        <v>2330.3199999999997</v>
      </c>
      <c r="G130" s="22">
        <v>1500.69</v>
      </c>
      <c r="H130" s="22">
        <v>37533.800000000003</v>
      </c>
      <c r="I130" s="22">
        <v>1220.06</v>
      </c>
      <c r="J130" s="22">
        <v>2557.6799999999998</v>
      </c>
      <c r="K130" s="22">
        <v>61357.68</v>
      </c>
      <c r="L130" s="22">
        <v>5447.81</v>
      </c>
      <c r="M130" s="22">
        <v>7837.68</v>
      </c>
      <c r="N130" s="43">
        <v>515.53</v>
      </c>
      <c r="O130" s="42">
        <v>9682.15</v>
      </c>
      <c r="P130" s="42">
        <v>389.85</v>
      </c>
      <c r="Q130" s="49">
        <v>1635.46</v>
      </c>
      <c r="R130" s="39">
        <v>232.44</v>
      </c>
      <c r="S130" s="41">
        <v>771.29</v>
      </c>
      <c r="T130" s="41">
        <v>906.94</v>
      </c>
      <c r="U130" s="16">
        <f t="shared" si="17"/>
        <v>135.65000000000009</v>
      </c>
      <c r="V130" s="45">
        <f t="shared" si="18"/>
        <v>0.17587418480727107</v>
      </c>
    </row>
    <row r="131" spans="1:22" x14ac:dyDescent="0.2">
      <c r="A131" s="3">
        <v>706002</v>
      </c>
      <c r="B131" s="3" t="s">
        <v>441</v>
      </c>
      <c r="C131" s="57">
        <v>742115</v>
      </c>
      <c r="D131" s="57" t="s">
        <v>296</v>
      </c>
      <c r="E131" s="22"/>
      <c r="F131" s="22"/>
      <c r="G131" s="22">
        <v>920</v>
      </c>
      <c r="H131" s="22"/>
      <c r="I131" s="22"/>
      <c r="J131" s="22"/>
      <c r="K131" s="22"/>
      <c r="L131" s="22"/>
      <c r="M131" s="22"/>
      <c r="N131" s="22"/>
      <c r="O131" s="42">
        <v>9144.2100000000009</v>
      </c>
      <c r="P131" s="42"/>
      <c r="Q131" s="42"/>
      <c r="R131" s="39">
        <v>9199.85</v>
      </c>
      <c r="S131" s="39"/>
      <c r="T131" s="41">
        <v>15208.300000000001</v>
      </c>
      <c r="U131" s="16">
        <f t="shared" si="17"/>
        <v>15208.300000000001</v>
      </c>
      <c r="V131" s="45" t="e">
        <f t="shared" si="18"/>
        <v>#DIV/0!</v>
      </c>
    </row>
    <row r="132" spans="1:22" x14ac:dyDescent="0.2">
      <c r="A132" s="3">
        <v>706100</v>
      </c>
      <c r="B132" s="3" t="s">
        <v>372</v>
      </c>
      <c r="C132" s="1">
        <v>742120</v>
      </c>
      <c r="D132" s="1" t="s">
        <v>108</v>
      </c>
      <c r="E132" s="22">
        <v>30024.5</v>
      </c>
      <c r="F132" s="22">
        <v>27100.720000000001</v>
      </c>
      <c r="G132" s="22">
        <v>34764.370000000003</v>
      </c>
      <c r="H132" s="22">
        <v>11463.060000000001</v>
      </c>
      <c r="I132" s="22">
        <v>20287.660000000003</v>
      </c>
      <c r="J132" s="22">
        <v>24492.34</v>
      </c>
      <c r="K132" s="22">
        <v>21376.280000000002</v>
      </c>
      <c r="L132" s="22">
        <v>26485.74</v>
      </c>
      <c r="M132" s="22">
        <v>27870.07</v>
      </c>
      <c r="N132" s="43">
        <v>18642.95</v>
      </c>
      <c r="O132" s="42">
        <v>12932.02</v>
      </c>
      <c r="P132" s="42">
        <v>15167.93</v>
      </c>
      <c r="Q132" s="49">
        <v>17818.84</v>
      </c>
      <c r="R132" s="39">
        <v>39907.42</v>
      </c>
      <c r="S132" s="41">
        <v>30139.15</v>
      </c>
      <c r="T132" s="41">
        <v>35035.049999999996</v>
      </c>
      <c r="U132" s="16">
        <f t="shared" si="17"/>
        <v>4895.8999999999942</v>
      </c>
      <c r="V132" s="45">
        <f t="shared" si="18"/>
        <v>0.1624432009529132</v>
      </c>
    </row>
    <row r="133" spans="1:22" x14ac:dyDescent="0.2">
      <c r="A133" s="3">
        <v>706101</v>
      </c>
      <c r="B133" s="3" t="s">
        <v>373</v>
      </c>
      <c r="C133" s="57">
        <v>742125</v>
      </c>
      <c r="D133" s="57" t="s">
        <v>285</v>
      </c>
      <c r="E133" s="22"/>
      <c r="F133" s="22"/>
      <c r="G133" s="22">
        <v>1210.78</v>
      </c>
      <c r="H133" s="22">
        <v>1708.16</v>
      </c>
      <c r="I133" s="22">
        <v>142.03</v>
      </c>
      <c r="J133" s="22">
        <v>493.76</v>
      </c>
      <c r="K133" s="22">
        <v>6754.41</v>
      </c>
      <c r="L133" s="22">
        <v>5123.91</v>
      </c>
      <c r="M133" s="22">
        <v>5247.8600000000006</v>
      </c>
      <c r="N133" s="43">
        <v>3525.7400000000002</v>
      </c>
      <c r="O133" s="42">
        <v>1156.48</v>
      </c>
      <c r="P133" s="42">
        <v>2728.1099999999997</v>
      </c>
      <c r="Q133" s="49">
        <v>3207.32</v>
      </c>
      <c r="R133" s="39">
        <v>2736.3900000000003</v>
      </c>
      <c r="S133" s="41">
        <v>1554.17</v>
      </c>
      <c r="T133" s="41">
        <v>1593.46</v>
      </c>
      <c r="U133" s="16">
        <f t="shared" si="17"/>
        <v>39.289999999999964</v>
      </c>
      <c r="V133" s="45">
        <f t="shared" si="18"/>
        <v>2.5280374733780708E-2</v>
      </c>
    </row>
    <row r="134" spans="1:22" x14ac:dyDescent="0.2">
      <c r="A134" s="3">
        <v>706200</v>
      </c>
      <c r="B134" s="3" t="s">
        <v>374</v>
      </c>
      <c r="C134" s="1">
        <v>743100</v>
      </c>
      <c r="D134" s="1" t="s">
        <v>109</v>
      </c>
      <c r="E134" s="22">
        <v>1586475.3099999998</v>
      </c>
      <c r="F134" s="22">
        <v>1139436.8499999999</v>
      </c>
      <c r="G134" s="22">
        <v>692751.29999999993</v>
      </c>
      <c r="H134" s="22">
        <v>702916.31</v>
      </c>
      <c r="I134" s="22">
        <v>790720.12000000023</v>
      </c>
      <c r="J134" s="22">
        <v>661578.89999999991</v>
      </c>
      <c r="K134" s="22">
        <v>629909.69999999995</v>
      </c>
      <c r="L134" s="22">
        <v>563979.52000000002</v>
      </c>
      <c r="M134" s="22">
        <v>554038.38</v>
      </c>
      <c r="N134" s="43">
        <v>287090.49000000005</v>
      </c>
      <c r="O134" s="42">
        <v>247284.87</v>
      </c>
      <c r="P134" s="42">
        <v>222460.47999999998</v>
      </c>
      <c r="Q134" s="49">
        <v>160188.86000000002</v>
      </c>
      <c r="R134" s="49"/>
      <c r="S134" s="49"/>
      <c r="T134" s="49"/>
      <c r="U134" s="16">
        <f t="shared" si="17"/>
        <v>0</v>
      </c>
      <c r="V134" s="45" t="e">
        <f t="shared" si="18"/>
        <v>#DIV/0!</v>
      </c>
    </row>
    <row r="135" spans="1:22" x14ac:dyDescent="0.2">
      <c r="A135" s="3">
        <v>706200</v>
      </c>
      <c r="B135" s="3" t="s">
        <v>374</v>
      </c>
      <c r="C135" s="1">
        <v>743200</v>
      </c>
      <c r="D135" s="1" t="s">
        <v>110</v>
      </c>
      <c r="E135" s="22">
        <v>718331.55999999994</v>
      </c>
      <c r="F135" s="22">
        <v>870727.35</v>
      </c>
      <c r="G135" s="22">
        <v>709076.01000000013</v>
      </c>
      <c r="H135" s="22">
        <v>976682.17</v>
      </c>
      <c r="I135" s="22">
        <v>572371.14</v>
      </c>
      <c r="J135" s="22">
        <v>1007105.8999999999</v>
      </c>
      <c r="K135" s="22">
        <v>1246470.9099999999</v>
      </c>
      <c r="L135" s="22">
        <v>1969283.95</v>
      </c>
      <c r="M135" s="22">
        <v>1963065.62</v>
      </c>
      <c r="N135" s="43">
        <v>1863556.28</v>
      </c>
      <c r="O135" s="42">
        <v>2178582.94</v>
      </c>
      <c r="P135" s="42">
        <v>2444465.5</v>
      </c>
      <c r="Q135" s="49">
        <v>2588474.5400000005</v>
      </c>
      <c r="R135" s="39">
        <v>2515031.4700000002</v>
      </c>
      <c r="S135" s="41">
        <v>2444568.37</v>
      </c>
      <c r="T135" s="41">
        <v>2260494.25</v>
      </c>
      <c r="U135" s="16">
        <f t="shared" si="17"/>
        <v>-184074.12000000011</v>
      </c>
      <c r="V135" s="45">
        <f t="shared" si="18"/>
        <v>-7.5299231659452459E-2</v>
      </c>
    </row>
    <row r="136" spans="1:22" x14ac:dyDescent="0.2">
      <c r="A136">
        <v>706201</v>
      </c>
      <c r="B136" t="s">
        <v>466</v>
      </c>
      <c r="C136" s="1"/>
      <c r="D136" s="1"/>
      <c r="E136" s="22"/>
      <c r="F136" s="22"/>
      <c r="G136" s="22"/>
      <c r="H136" s="22"/>
      <c r="I136" s="22"/>
      <c r="J136" s="22"/>
      <c r="K136" s="22"/>
      <c r="L136" s="22"/>
      <c r="M136" s="22"/>
      <c r="N136" s="43"/>
      <c r="O136" s="42"/>
      <c r="P136" s="42"/>
      <c r="Q136" s="49"/>
      <c r="R136" s="39">
        <v>132988.22</v>
      </c>
      <c r="S136" s="41">
        <v>2650</v>
      </c>
      <c r="T136" s="41">
        <v>324619.83</v>
      </c>
      <c r="U136" s="16">
        <f t="shared" si="17"/>
        <v>321969.83</v>
      </c>
      <c r="V136" s="45">
        <f t="shared" si="18"/>
        <v>121.49804905660378</v>
      </c>
    </row>
    <row r="137" spans="1:22" x14ac:dyDescent="0.2">
      <c r="A137" s="3">
        <v>706202</v>
      </c>
      <c r="B137" s="3" t="s">
        <v>375</v>
      </c>
      <c r="C137" s="1">
        <v>743300</v>
      </c>
      <c r="D137" s="1" t="s">
        <v>111</v>
      </c>
      <c r="E137" s="22">
        <v>1438.06</v>
      </c>
      <c r="F137" s="22">
        <v>444.26</v>
      </c>
      <c r="G137" s="22"/>
      <c r="H137" s="22">
        <v>1118.76</v>
      </c>
      <c r="I137" s="22">
        <v>2005.8500000000001</v>
      </c>
      <c r="J137" s="22"/>
      <c r="K137" s="22"/>
      <c r="L137" s="22"/>
      <c r="M137" s="22"/>
      <c r="N137" s="22"/>
      <c r="O137" s="22"/>
      <c r="P137" s="22"/>
      <c r="Q137" s="22"/>
      <c r="R137" s="22"/>
      <c r="S137" s="22"/>
      <c r="T137" s="22"/>
      <c r="U137" s="16">
        <f t="shared" si="17"/>
        <v>0</v>
      </c>
      <c r="V137" s="45" t="e">
        <f t="shared" si="18"/>
        <v>#DIV/0!</v>
      </c>
    </row>
    <row r="138" spans="1:22" x14ac:dyDescent="0.2">
      <c r="A138" s="3">
        <v>706203</v>
      </c>
      <c r="B138" s="3" t="s">
        <v>376</v>
      </c>
      <c r="C138" s="1">
        <v>743400</v>
      </c>
      <c r="D138" s="1" t="s">
        <v>112</v>
      </c>
      <c r="S138" s="41">
        <v>10945</v>
      </c>
      <c r="T138" s="41">
        <v>63000</v>
      </c>
      <c r="U138" s="16">
        <f t="shared" si="17"/>
        <v>52055</v>
      </c>
      <c r="V138" s="45">
        <f t="shared" si="18"/>
        <v>4.7560529922338963</v>
      </c>
    </row>
    <row r="139" spans="1:22" x14ac:dyDescent="0.2">
      <c r="A139" s="3">
        <v>706204</v>
      </c>
      <c r="B139" s="3" t="s">
        <v>377</v>
      </c>
      <c r="C139" s="1">
        <v>743500</v>
      </c>
      <c r="D139" s="1" t="s">
        <v>113</v>
      </c>
      <c r="E139" s="22">
        <v>48351.47</v>
      </c>
      <c r="F139" s="22">
        <v>61934.84</v>
      </c>
      <c r="G139" s="22">
        <v>57852.020000000004</v>
      </c>
      <c r="H139" s="22">
        <v>72029.119999999995</v>
      </c>
      <c r="I139" s="22">
        <v>58290.100000000006</v>
      </c>
      <c r="J139" s="22">
        <v>57549.130000000005</v>
      </c>
      <c r="K139" s="22">
        <v>49783.5</v>
      </c>
      <c r="L139" s="22">
        <v>74880.899999999994</v>
      </c>
      <c r="M139" s="22">
        <v>110386.95</v>
      </c>
      <c r="N139" s="43">
        <v>109925.84</v>
      </c>
      <c r="O139" s="42">
        <v>125497.03</v>
      </c>
      <c r="P139" s="42">
        <v>97348.239999999991</v>
      </c>
      <c r="Q139" s="49">
        <v>73916.320000000007</v>
      </c>
      <c r="R139" s="39">
        <v>105013.68</v>
      </c>
      <c r="S139" s="41">
        <v>126060.78</v>
      </c>
      <c r="T139" s="41">
        <v>57376.630000000005</v>
      </c>
      <c r="U139" s="16">
        <f t="shared" si="17"/>
        <v>-68684.149999999994</v>
      </c>
      <c r="V139" s="45">
        <f t="shared" si="18"/>
        <v>-0.54484947657788563</v>
      </c>
    </row>
    <row r="140" spans="1:22" x14ac:dyDescent="0.2">
      <c r="A140" s="3">
        <v>706300</v>
      </c>
      <c r="B140" s="3" t="s">
        <v>378</v>
      </c>
      <c r="C140" s="1">
        <v>744100</v>
      </c>
      <c r="D140" s="1" t="s">
        <v>114</v>
      </c>
      <c r="E140" s="22"/>
      <c r="F140" s="22"/>
      <c r="G140" s="22">
        <v>10913.77</v>
      </c>
      <c r="H140" s="22">
        <v>28018.639999999999</v>
      </c>
      <c r="I140" s="22">
        <v>26460.320000000003</v>
      </c>
      <c r="J140" s="22">
        <v>31799.329999999998</v>
      </c>
      <c r="K140" s="22">
        <v>28288.75</v>
      </c>
      <c r="L140" s="22">
        <v>36357.24</v>
      </c>
      <c r="M140" s="22">
        <v>66711.98</v>
      </c>
      <c r="N140" s="43">
        <v>150984.17000000001</v>
      </c>
      <c r="O140" s="42">
        <v>107778.79</v>
      </c>
      <c r="P140" s="42">
        <v>102782.29000000001</v>
      </c>
      <c r="Q140" s="49">
        <v>105191.82</v>
      </c>
      <c r="R140" s="49"/>
      <c r="S140" s="49"/>
      <c r="T140" s="49"/>
      <c r="U140" s="16">
        <f t="shared" si="17"/>
        <v>0</v>
      </c>
      <c r="V140" s="45" t="e">
        <f t="shared" si="18"/>
        <v>#DIV/0!</v>
      </c>
    </row>
    <row r="141" spans="1:22" x14ac:dyDescent="0.2">
      <c r="A141" s="3">
        <v>706300</v>
      </c>
      <c r="B141" s="3" t="s">
        <v>378</v>
      </c>
      <c r="C141" s="57">
        <v>744105</v>
      </c>
      <c r="D141" s="57" t="s">
        <v>286</v>
      </c>
      <c r="E141" s="22">
        <v>68074.750000000015</v>
      </c>
      <c r="F141" s="22">
        <v>16958.54</v>
      </c>
      <c r="G141" s="22">
        <v>24385.66</v>
      </c>
      <c r="H141" s="22">
        <v>12741.68</v>
      </c>
      <c r="I141" s="22"/>
      <c r="J141" s="22"/>
      <c r="K141" s="22"/>
      <c r="L141" s="22">
        <v>23301.95</v>
      </c>
      <c r="M141" s="22">
        <v>36411.69</v>
      </c>
      <c r="N141" s="43">
        <v>7189</v>
      </c>
      <c r="O141" s="42">
        <v>12389.64</v>
      </c>
      <c r="P141" s="42">
        <v>20600.689999999999</v>
      </c>
      <c r="Q141" s="49">
        <v>20185.7</v>
      </c>
      <c r="R141" s="49"/>
      <c r="S141" s="49"/>
      <c r="T141" s="49"/>
      <c r="U141" s="16">
        <f t="shared" si="17"/>
        <v>0</v>
      </c>
      <c r="V141" s="45" t="e">
        <f t="shared" si="18"/>
        <v>#DIV/0!</v>
      </c>
    </row>
    <row r="142" spans="1:22" x14ac:dyDescent="0.2">
      <c r="A142" s="3">
        <v>706300</v>
      </c>
      <c r="B142" s="3" t="s">
        <v>378</v>
      </c>
      <c r="C142" s="1">
        <v>744110</v>
      </c>
      <c r="D142" s="1" t="s">
        <v>115</v>
      </c>
      <c r="E142" s="22">
        <v>283164.23</v>
      </c>
      <c r="F142" s="22">
        <v>463032.41000000003</v>
      </c>
      <c r="G142" s="22">
        <v>384498.04999999993</v>
      </c>
      <c r="H142" s="22">
        <v>458266.88999999996</v>
      </c>
      <c r="I142" s="22">
        <v>351505.96</v>
      </c>
      <c r="J142" s="22">
        <v>296301.81000000006</v>
      </c>
      <c r="K142" s="22">
        <v>308169.17000000004</v>
      </c>
      <c r="L142" s="22">
        <v>464947.18</v>
      </c>
      <c r="M142" s="22">
        <v>469936.06000000006</v>
      </c>
      <c r="N142" s="43">
        <v>550693.16</v>
      </c>
      <c r="O142" s="42">
        <v>530131.94999999995</v>
      </c>
      <c r="P142" s="42">
        <v>545348.82999999996</v>
      </c>
      <c r="Q142" s="49">
        <v>388377.49</v>
      </c>
      <c r="R142" s="39">
        <v>733095.85999999975</v>
      </c>
      <c r="S142" s="41">
        <v>701571.25</v>
      </c>
      <c r="T142" s="41">
        <v>655473.40999999992</v>
      </c>
      <c r="U142" s="16">
        <f t="shared" si="17"/>
        <v>-46097.840000000084</v>
      </c>
      <c r="V142" s="45">
        <f t="shared" si="18"/>
        <v>-6.5706569361273115E-2</v>
      </c>
    </row>
    <row r="143" spans="1:22" x14ac:dyDescent="0.2">
      <c r="A143" s="3">
        <v>706301</v>
      </c>
      <c r="B143" s="3" t="s">
        <v>379</v>
      </c>
      <c r="C143" s="1">
        <v>744115</v>
      </c>
      <c r="D143" s="1" t="s">
        <v>116</v>
      </c>
      <c r="E143" s="22"/>
      <c r="F143" s="22"/>
      <c r="G143" s="22"/>
      <c r="H143" s="22"/>
      <c r="I143" s="22"/>
      <c r="J143" s="22"/>
      <c r="K143" s="22"/>
      <c r="L143" s="22">
        <v>5348.14</v>
      </c>
      <c r="M143" s="22">
        <v>23616.53</v>
      </c>
      <c r="N143" s="22"/>
      <c r="O143" s="42">
        <v>4207.18</v>
      </c>
      <c r="P143" s="42"/>
      <c r="Q143" s="49">
        <v>39698.57</v>
      </c>
      <c r="R143" s="39">
        <v>11350.369999999999</v>
      </c>
      <c r="S143" s="41">
        <v>5255.06</v>
      </c>
      <c r="T143" s="41"/>
      <c r="U143" s="16">
        <f t="shared" si="17"/>
        <v>-5255.06</v>
      </c>
      <c r="V143" s="45">
        <f t="shared" si="18"/>
        <v>-1</v>
      </c>
    </row>
    <row r="144" spans="1:22" x14ac:dyDescent="0.2">
      <c r="A144" s="3">
        <v>706505</v>
      </c>
      <c r="B144" s="3" t="s">
        <v>442</v>
      </c>
      <c r="C144" s="57">
        <v>744120</v>
      </c>
      <c r="D144" s="57" t="s">
        <v>287</v>
      </c>
      <c r="E144" s="22"/>
      <c r="F144" s="22">
        <v>881</v>
      </c>
      <c r="G144" s="22">
        <v>1553.4</v>
      </c>
      <c r="H144" s="22"/>
      <c r="I144" s="22"/>
      <c r="J144" s="22"/>
      <c r="K144" s="22"/>
      <c r="L144" s="22">
        <v>2768.8900000000003</v>
      </c>
      <c r="M144" s="22"/>
      <c r="N144" s="22"/>
      <c r="O144" s="22"/>
      <c r="P144" s="22"/>
      <c r="Q144" s="22"/>
      <c r="R144" s="39">
        <v>35291.11</v>
      </c>
      <c r="S144" s="39"/>
      <c r="T144" s="41">
        <v>4393.5600000000004</v>
      </c>
      <c r="U144" s="16">
        <f t="shared" si="17"/>
        <v>4393.5600000000004</v>
      </c>
      <c r="V144" s="45" t="e">
        <f t="shared" si="18"/>
        <v>#DIV/0!</v>
      </c>
    </row>
    <row r="145" spans="1:22" x14ac:dyDescent="0.2">
      <c r="A145" s="3">
        <v>706302</v>
      </c>
      <c r="B145" s="3" t="s">
        <v>380</v>
      </c>
      <c r="C145" s="1">
        <v>744125</v>
      </c>
      <c r="D145" s="1" t="s">
        <v>117</v>
      </c>
      <c r="E145" s="22">
        <v>516.5</v>
      </c>
      <c r="F145" s="22">
        <v>1119.3399999999999</v>
      </c>
      <c r="G145" s="22">
        <v>656.08</v>
      </c>
      <c r="H145" s="22">
        <v>714.5</v>
      </c>
      <c r="I145" s="22">
        <v>190.48</v>
      </c>
      <c r="J145" s="22">
        <v>872</v>
      </c>
      <c r="K145" s="22">
        <v>1183.45</v>
      </c>
      <c r="L145" s="22">
        <v>950</v>
      </c>
      <c r="M145" s="22">
        <v>10078.130000000001</v>
      </c>
      <c r="N145" s="43">
        <v>22387.22</v>
      </c>
      <c r="O145" s="42">
        <v>7607.2699999999995</v>
      </c>
      <c r="P145" s="42">
        <v>9684.17</v>
      </c>
      <c r="Q145" s="49">
        <v>16908.260000000002</v>
      </c>
      <c r="R145" s="39">
        <v>14390.19</v>
      </c>
      <c r="S145" s="41">
        <v>12442.52</v>
      </c>
      <c r="T145" s="41">
        <v>180</v>
      </c>
      <c r="U145" s="16">
        <f t="shared" si="17"/>
        <v>-12262.52</v>
      </c>
      <c r="V145" s="45">
        <f t="shared" si="18"/>
        <v>-0.98553347714128647</v>
      </c>
    </row>
    <row r="146" spans="1:22" x14ac:dyDescent="0.2">
      <c r="A146" s="3">
        <v>706400</v>
      </c>
      <c r="B146" s="3" t="s">
        <v>381</v>
      </c>
      <c r="C146" s="1">
        <v>744130</v>
      </c>
      <c r="D146" s="1" t="s">
        <v>118</v>
      </c>
      <c r="E146" s="22">
        <v>2136.2400000000002</v>
      </c>
      <c r="F146" s="22">
        <v>182.28</v>
      </c>
      <c r="G146" s="22"/>
      <c r="H146" s="22"/>
      <c r="I146" s="22"/>
      <c r="J146" s="22">
        <v>1850</v>
      </c>
      <c r="K146" s="22">
        <v>2445</v>
      </c>
      <c r="L146" s="22">
        <v>1466.68</v>
      </c>
      <c r="M146" s="22">
        <v>4951.6900000000005</v>
      </c>
      <c r="N146" s="43">
        <v>39.9</v>
      </c>
      <c r="O146" s="42">
        <v>37</v>
      </c>
      <c r="P146" s="42"/>
      <c r="Q146" s="42"/>
      <c r="R146" s="42"/>
      <c r="S146" s="42"/>
      <c r="T146" s="42"/>
      <c r="U146" s="16">
        <f t="shared" ref="U146:U209" si="19">T146-S146</f>
        <v>0</v>
      </c>
      <c r="V146" s="45" t="e">
        <f t="shared" ref="V146:V209" si="20">U146/S146</f>
        <v>#DIV/0!</v>
      </c>
    </row>
    <row r="147" spans="1:22" x14ac:dyDescent="0.2">
      <c r="A147" s="3">
        <v>706400</v>
      </c>
      <c r="B147" s="3" t="s">
        <v>381</v>
      </c>
      <c r="C147" s="1">
        <v>744135</v>
      </c>
      <c r="D147" s="1" t="s">
        <v>119</v>
      </c>
      <c r="E147" s="22"/>
      <c r="F147" s="22"/>
      <c r="G147" s="22">
        <v>7023.93</v>
      </c>
      <c r="H147" s="22">
        <v>9435.19</v>
      </c>
      <c r="I147" s="22">
        <v>3638.7999999999997</v>
      </c>
      <c r="J147" s="22">
        <v>3718.6</v>
      </c>
      <c r="K147" s="22">
        <v>4615.49</v>
      </c>
      <c r="L147" s="22">
        <v>7111.16</v>
      </c>
      <c r="M147" s="22">
        <v>2851.8</v>
      </c>
      <c r="N147" s="43">
        <v>2747.69</v>
      </c>
      <c r="O147" s="42">
        <v>5656.35</v>
      </c>
      <c r="P147" s="42">
        <v>1622.89</v>
      </c>
      <c r="Q147" s="49">
        <v>1182.01</v>
      </c>
      <c r="R147" s="39">
        <v>11488.130000000001</v>
      </c>
      <c r="S147" s="41">
        <v>3179.3900000000003</v>
      </c>
      <c r="T147" s="41">
        <v>13145.6</v>
      </c>
      <c r="U147" s="16">
        <f t="shared" si="19"/>
        <v>9966.2099999999991</v>
      </c>
      <c r="V147" s="45">
        <f t="shared" si="20"/>
        <v>3.1346295987595099</v>
      </c>
    </row>
    <row r="148" spans="1:22" x14ac:dyDescent="0.2">
      <c r="A148" s="72">
        <v>706500</v>
      </c>
      <c r="B148" s="107" t="s">
        <v>498</v>
      </c>
      <c r="C148" s="1"/>
      <c r="D148" s="1"/>
      <c r="E148" s="22"/>
      <c r="F148" s="22"/>
      <c r="G148" s="22"/>
      <c r="H148" s="22"/>
      <c r="I148" s="22"/>
      <c r="J148" s="22"/>
      <c r="K148" s="22"/>
      <c r="L148" s="22"/>
      <c r="M148" s="22"/>
      <c r="N148" s="43"/>
      <c r="O148" s="42"/>
      <c r="P148" s="42"/>
      <c r="Q148" s="49"/>
      <c r="R148" s="39"/>
      <c r="S148" s="41"/>
      <c r="T148" s="41">
        <v>2997.82</v>
      </c>
      <c r="U148" s="16">
        <f t="shared" si="19"/>
        <v>2997.82</v>
      </c>
      <c r="V148" s="45" t="e">
        <f t="shared" si="20"/>
        <v>#DIV/0!</v>
      </c>
    </row>
    <row r="149" spans="1:22" x14ac:dyDescent="0.2">
      <c r="A149" s="3">
        <v>706504</v>
      </c>
      <c r="B149" s="3" t="s">
        <v>385</v>
      </c>
      <c r="C149" s="1">
        <v>744140</v>
      </c>
      <c r="D149" s="1" t="s">
        <v>120</v>
      </c>
      <c r="E149" s="22">
        <v>13509.9</v>
      </c>
      <c r="F149" s="22">
        <v>56543.29</v>
      </c>
      <c r="G149" s="22">
        <v>41474.28</v>
      </c>
      <c r="H149" s="22">
        <v>47483.67</v>
      </c>
      <c r="I149" s="22">
        <v>74178.680000000008</v>
      </c>
      <c r="J149" s="22">
        <v>57470.92</v>
      </c>
      <c r="K149" s="22">
        <v>5417</v>
      </c>
      <c r="L149" s="22">
        <v>68315.760000000009</v>
      </c>
      <c r="M149" s="22">
        <v>341983.88</v>
      </c>
      <c r="N149" s="43">
        <v>124696.72</v>
      </c>
      <c r="O149" s="42">
        <v>72696.910000000018</v>
      </c>
      <c r="P149" s="42">
        <v>379447.74000000005</v>
      </c>
      <c r="Q149" s="49">
        <v>73008.810000000012</v>
      </c>
      <c r="R149" s="39">
        <v>168898.39</v>
      </c>
      <c r="S149" s="41">
        <v>192026.72</v>
      </c>
      <c r="T149" s="41">
        <v>103899.15000000001</v>
      </c>
      <c r="U149" s="16">
        <f t="shared" si="19"/>
        <v>-88127.569999999992</v>
      </c>
      <c r="V149" s="45">
        <f t="shared" si="20"/>
        <v>-0.4589338921166804</v>
      </c>
    </row>
    <row r="150" spans="1:22" x14ac:dyDescent="0.2">
      <c r="A150" s="3">
        <v>706700</v>
      </c>
      <c r="B150" s="3" t="s">
        <v>390</v>
      </c>
      <c r="C150" s="1">
        <v>745100</v>
      </c>
      <c r="D150" s="1" t="s">
        <v>121</v>
      </c>
      <c r="E150" s="22"/>
      <c r="F150" s="22"/>
      <c r="G150" s="22">
        <v>130</v>
      </c>
      <c r="H150" s="22">
        <v>276.32</v>
      </c>
      <c r="I150" s="22">
        <v>2040.71</v>
      </c>
      <c r="J150" s="22">
        <v>4513.17</v>
      </c>
      <c r="K150" s="22">
        <v>3264.26</v>
      </c>
      <c r="L150" s="22">
        <v>4672.41</v>
      </c>
      <c r="M150" s="22">
        <v>1724.33</v>
      </c>
      <c r="N150" s="43">
        <v>637.01</v>
      </c>
      <c r="O150" s="22"/>
      <c r="P150" s="22">
        <v>999.5</v>
      </c>
      <c r="Q150" s="49">
        <v>1833.75</v>
      </c>
      <c r="R150" s="39">
        <v>-4423.6900000000005</v>
      </c>
      <c r="S150" s="39"/>
      <c r="T150" s="41">
        <v>8184.8</v>
      </c>
      <c r="U150" s="16">
        <f t="shared" si="19"/>
        <v>8184.8</v>
      </c>
      <c r="V150" s="45" t="e">
        <f t="shared" si="20"/>
        <v>#DIV/0!</v>
      </c>
    </row>
    <row r="151" spans="1:22" x14ac:dyDescent="0.2">
      <c r="A151" s="3">
        <v>706700</v>
      </c>
      <c r="B151" s="3" t="s">
        <v>390</v>
      </c>
      <c r="C151" s="57">
        <v>745101</v>
      </c>
      <c r="D151" s="57" t="s">
        <v>191</v>
      </c>
      <c r="E151" s="22"/>
      <c r="F151" s="22"/>
      <c r="G151" s="22"/>
      <c r="H151" s="22">
        <v>16234</v>
      </c>
      <c r="I151" s="22"/>
      <c r="J151" s="22"/>
      <c r="K151" s="22">
        <v>7730</v>
      </c>
      <c r="L151" s="22"/>
      <c r="M151" s="22"/>
      <c r="N151" s="22"/>
      <c r="O151" s="22"/>
      <c r="P151" s="22"/>
      <c r="Q151" s="22"/>
      <c r="R151" s="22"/>
      <c r="S151" s="22"/>
      <c r="T151" s="22"/>
      <c r="U151" s="16">
        <f t="shared" si="19"/>
        <v>0</v>
      </c>
      <c r="V151" s="45" t="e">
        <f t="shared" si="20"/>
        <v>#DIV/0!</v>
      </c>
    </row>
    <row r="152" spans="1:22" x14ac:dyDescent="0.2">
      <c r="A152" s="72">
        <v>706604</v>
      </c>
      <c r="B152" s="72" t="s">
        <v>475</v>
      </c>
      <c r="C152" s="57"/>
      <c r="D152" s="57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  <c r="S152" s="41">
        <v>1364.6100000000001</v>
      </c>
      <c r="T152" s="41">
        <v>1642.69</v>
      </c>
      <c r="U152" s="16">
        <f t="shared" si="19"/>
        <v>278.07999999999993</v>
      </c>
      <c r="V152" s="45">
        <f t="shared" si="20"/>
        <v>0.2037798345314778</v>
      </c>
    </row>
    <row r="153" spans="1:22" x14ac:dyDescent="0.2">
      <c r="A153" s="3">
        <v>706605</v>
      </c>
      <c r="B153" s="3" t="s">
        <v>389</v>
      </c>
      <c r="C153" s="1">
        <v>745105</v>
      </c>
      <c r="D153" s="1" t="s">
        <v>122</v>
      </c>
      <c r="E153" s="22">
        <v>1613587.81</v>
      </c>
      <c r="F153" s="22">
        <v>1753520.35</v>
      </c>
      <c r="G153" s="22">
        <v>1714747.1499999997</v>
      </c>
      <c r="H153" s="22">
        <v>1942633.3399999999</v>
      </c>
      <c r="I153" s="22">
        <v>1583859.55</v>
      </c>
      <c r="J153" s="22">
        <v>1471362.1300000001</v>
      </c>
      <c r="K153" s="22">
        <v>1203371.9200000002</v>
      </c>
      <c r="L153" s="22">
        <v>1882595.56</v>
      </c>
      <c r="M153" s="22">
        <v>2724925.49</v>
      </c>
      <c r="N153" s="43">
        <v>3402624.620000001</v>
      </c>
      <c r="O153" s="42">
        <v>3338302.83</v>
      </c>
      <c r="P153" s="42">
        <v>4384865.57</v>
      </c>
      <c r="Q153" s="49">
        <v>3853719.3</v>
      </c>
      <c r="R153" s="39">
        <v>7871297.8699999992</v>
      </c>
      <c r="S153" s="41">
        <v>6990209.5</v>
      </c>
      <c r="T153" s="41">
        <v>7073045.4600000009</v>
      </c>
      <c r="U153" s="16">
        <f t="shared" si="19"/>
        <v>82835.960000000894</v>
      </c>
      <c r="V153" s="45">
        <f t="shared" si="20"/>
        <v>1.1850282884940845E-2</v>
      </c>
    </row>
    <row r="154" spans="1:22" x14ac:dyDescent="0.2">
      <c r="A154" s="3">
        <v>706605</v>
      </c>
      <c r="B154" s="3" t="s">
        <v>389</v>
      </c>
      <c r="C154" s="1">
        <v>745110</v>
      </c>
      <c r="D154" s="1" t="s">
        <v>123</v>
      </c>
      <c r="E154" s="22">
        <v>1957539.3699999999</v>
      </c>
      <c r="F154" s="22">
        <v>2152095.1099999994</v>
      </c>
      <c r="G154" s="22">
        <v>2155099.12</v>
      </c>
      <c r="H154" s="22">
        <v>2284100</v>
      </c>
      <c r="I154" s="22">
        <v>2384073.9</v>
      </c>
      <c r="J154" s="22">
        <v>2482729.4699999997</v>
      </c>
      <c r="K154" s="22">
        <v>2517190.0499999998</v>
      </c>
      <c r="L154" s="22">
        <v>2623307.0700000003</v>
      </c>
      <c r="M154" s="22">
        <v>2740123.95</v>
      </c>
      <c r="N154" s="43">
        <v>2824010.52</v>
      </c>
      <c r="O154" s="42">
        <v>3173496.7</v>
      </c>
      <c r="P154" s="42">
        <v>3495668.57</v>
      </c>
      <c r="Q154" s="49">
        <v>3573478.56</v>
      </c>
      <c r="R154" s="49"/>
      <c r="S154" s="49"/>
      <c r="T154" s="49"/>
      <c r="U154" s="16">
        <f t="shared" si="19"/>
        <v>0</v>
      </c>
      <c r="V154" s="45" t="e">
        <f t="shared" si="20"/>
        <v>#DIV/0!</v>
      </c>
    </row>
    <row r="155" spans="1:22" x14ac:dyDescent="0.2">
      <c r="A155" s="3">
        <v>706601</v>
      </c>
      <c r="B155" s="3" t="s">
        <v>387</v>
      </c>
      <c r="C155" s="1">
        <v>745115</v>
      </c>
      <c r="D155" s="1" t="s">
        <v>124</v>
      </c>
      <c r="E155" s="22"/>
      <c r="F155" s="22"/>
      <c r="G155" s="22"/>
      <c r="H155" s="22"/>
      <c r="I155" s="22"/>
      <c r="J155" s="22"/>
      <c r="K155" s="22"/>
      <c r="L155" s="22"/>
      <c r="M155" s="22">
        <v>2688</v>
      </c>
      <c r="N155" s="22"/>
      <c r="O155" s="42"/>
      <c r="P155" s="42"/>
      <c r="Q155" s="42"/>
      <c r="R155" s="39">
        <v>3567</v>
      </c>
      <c r="S155" s="41">
        <v>3686.87</v>
      </c>
      <c r="T155" s="41">
        <v>3334.91</v>
      </c>
      <c r="U155" s="16">
        <f t="shared" si="19"/>
        <v>-351.96000000000004</v>
      </c>
      <c r="V155" s="45">
        <f t="shared" si="20"/>
        <v>-9.5463089287118899E-2</v>
      </c>
    </row>
    <row r="156" spans="1:22" x14ac:dyDescent="0.2">
      <c r="A156" s="3">
        <v>706600</v>
      </c>
      <c r="B156" s="3" t="s">
        <v>386</v>
      </c>
      <c r="C156" s="57">
        <v>745120</v>
      </c>
      <c r="D156" s="57" t="s">
        <v>192</v>
      </c>
      <c r="E156" s="22">
        <v>1763.43</v>
      </c>
      <c r="F156" s="22">
        <v>7020.7000000000007</v>
      </c>
      <c r="G156" s="22">
        <v>6479.99</v>
      </c>
      <c r="H156" s="22">
        <v>43009.64</v>
      </c>
      <c r="I156" s="22">
        <v>110503.81999999999</v>
      </c>
      <c r="J156" s="22">
        <v>10816.310000000001</v>
      </c>
      <c r="K156" s="22">
        <v>34001.11</v>
      </c>
      <c r="L156" s="22">
        <v>1986.5200000000004</v>
      </c>
      <c r="M156" s="22">
        <v>18378.75</v>
      </c>
      <c r="N156" s="43">
        <v>45128</v>
      </c>
      <c r="O156" s="42">
        <v>26815.37</v>
      </c>
      <c r="P156" s="42">
        <v>72210.8</v>
      </c>
      <c r="Q156" s="49">
        <v>312095.65999999997</v>
      </c>
      <c r="R156" s="39">
        <v>432994.24</v>
      </c>
      <c r="S156" s="41">
        <v>381224.14999999991</v>
      </c>
      <c r="T156" s="41">
        <v>695059.94</v>
      </c>
      <c r="U156" s="16">
        <f t="shared" si="19"/>
        <v>313835.79000000004</v>
      </c>
      <c r="V156" s="45">
        <f t="shared" si="20"/>
        <v>0.82323166042864837</v>
      </c>
    </row>
    <row r="157" spans="1:22" x14ac:dyDescent="0.2">
      <c r="A157" s="3">
        <v>701304</v>
      </c>
      <c r="B157" s="3" t="s">
        <v>193</v>
      </c>
      <c r="C157" s="57">
        <v>745130</v>
      </c>
      <c r="D157" s="57" t="s">
        <v>193</v>
      </c>
      <c r="E157" s="22"/>
      <c r="F157" s="22"/>
      <c r="G157" s="22"/>
      <c r="H157" s="22">
        <v>551490</v>
      </c>
      <c r="I157" s="22">
        <v>27850</v>
      </c>
      <c r="J157" s="22">
        <v>510500</v>
      </c>
      <c r="K157" s="22">
        <v>19500</v>
      </c>
      <c r="L157" s="22">
        <v>58133.5</v>
      </c>
      <c r="M157" s="22">
        <v>6796.25</v>
      </c>
      <c r="N157" s="43">
        <v>20098.75</v>
      </c>
      <c r="O157" s="42">
        <v>31600</v>
      </c>
      <c r="P157" s="42">
        <v>113075</v>
      </c>
      <c r="Q157" s="49">
        <v>184660</v>
      </c>
      <c r="R157" s="39">
        <v>107831.16</v>
      </c>
      <c r="S157" s="41">
        <v>96000</v>
      </c>
      <c r="T157" s="41">
        <v>143188.15000000002</v>
      </c>
      <c r="U157" s="16">
        <f t="shared" si="19"/>
        <v>47188.150000000023</v>
      </c>
      <c r="V157" s="45">
        <f t="shared" si="20"/>
        <v>0.49154322916666693</v>
      </c>
    </row>
    <row r="158" spans="1:22" x14ac:dyDescent="0.2">
      <c r="A158" s="3">
        <v>707001</v>
      </c>
      <c r="B158" s="3" t="s">
        <v>392</v>
      </c>
      <c r="C158" s="1">
        <v>751100</v>
      </c>
      <c r="D158" s="1" t="s">
        <v>125</v>
      </c>
      <c r="E158" s="22"/>
      <c r="F158" s="22">
        <v>7352.18</v>
      </c>
      <c r="G158" s="22">
        <v>3434.4900000000002</v>
      </c>
      <c r="H158" s="22"/>
      <c r="I158" s="22"/>
      <c r="J158" s="22"/>
      <c r="K158" s="22"/>
      <c r="L158" s="22">
        <v>10634.99</v>
      </c>
      <c r="M158" s="22"/>
      <c r="N158" s="22"/>
      <c r="O158" s="22"/>
      <c r="P158" s="22">
        <v>2095</v>
      </c>
      <c r="Q158" s="49">
        <v>21384.33</v>
      </c>
      <c r="R158" s="39">
        <v>44257.64</v>
      </c>
      <c r="S158" s="41">
        <v>74105.989999999976</v>
      </c>
      <c r="T158" s="41">
        <v>71743.19</v>
      </c>
      <c r="U158" s="16">
        <f t="shared" si="19"/>
        <v>-2362.7999999999738</v>
      </c>
      <c r="V158" s="45">
        <f t="shared" si="20"/>
        <v>-3.1884062273508179E-2</v>
      </c>
    </row>
    <row r="159" spans="1:22" x14ac:dyDescent="0.2">
      <c r="A159" s="3">
        <v>707002</v>
      </c>
      <c r="B159" s="3" t="s">
        <v>393</v>
      </c>
      <c r="C159" s="57">
        <v>751105</v>
      </c>
      <c r="D159" s="57" t="s">
        <v>194</v>
      </c>
      <c r="E159" s="22"/>
      <c r="F159" s="22"/>
      <c r="G159" s="22"/>
      <c r="H159" s="22"/>
      <c r="I159" s="22"/>
      <c r="J159" s="22">
        <v>238.62</v>
      </c>
      <c r="K159" s="22">
        <v>118.77</v>
      </c>
      <c r="L159" s="22"/>
      <c r="M159" s="22"/>
      <c r="N159" s="22"/>
      <c r="O159" s="22"/>
      <c r="P159" s="22"/>
      <c r="Q159" s="22"/>
      <c r="R159" s="39">
        <v>108.59</v>
      </c>
      <c r="S159" s="39"/>
      <c r="T159" s="39"/>
      <c r="U159" s="16">
        <f t="shared" si="19"/>
        <v>0</v>
      </c>
      <c r="V159" s="45" t="e">
        <f t="shared" si="20"/>
        <v>#DIV/0!</v>
      </c>
    </row>
    <row r="160" spans="1:22" x14ac:dyDescent="0.2">
      <c r="A160" s="3">
        <v>707000</v>
      </c>
      <c r="B160" s="3" t="s">
        <v>391</v>
      </c>
      <c r="C160" s="1">
        <v>751110</v>
      </c>
      <c r="D160" s="1" t="s">
        <v>126</v>
      </c>
      <c r="E160" s="22">
        <v>1620</v>
      </c>
      <c r="F160" s="22"/>
      <c r="G160" s="22"/>
      <c r="H160" s="22"/>
      <c r="I160" s="22"/>
      <c r="J160" s="22">
        <v>7909.76</v>
      </c>
      <c r="K160" s="22">
        <v>7659</v>
      </c>
      <c r="L160" s="22"/>
      <c r="M160" s="22">
        <v>4110.8600000000006</v>
      </c>
      <c r="N160" s="43">
        <v>7615.56</v>
      </c>
      <c r="O160" s="42">
        <v>2072.48</v>
      </c>
      <c r="P160" s="42"/>
      <c r="Q160" s="49">
        <v>183</v>
      </c>
      <c r="R160" s="39">
        <v>179412.66999999998</v>
      </c>
      <c r="S160" s="41">
        <v>220590.36</v>
      </c>
      <c r="T160" s="41">
        <v>201955.66</v>
      </c>
      <c r="U160" s="16">
        <f t="shared" si="19"/>
        <v>-18634.699999999983</v>
      </c>
      <c r="V160" s="45">
        <f t="shared" si="20"/>
        <v>-8.4476492989086119E-2</v>
      </c>
    </row>
    <row r="161" spans="1:22" x14ac:dyDescent="0.2">
      <c r="A161" s="3">
        <v>707101</v>
      </c>
      <c r="B161" s="3" t="s">
        <v>395</v>
      </c>
      <c r="C161" s="1">
        <v>752100</v>
      </c>
      <c r="D161" s="1" t="s">
        <v>127</v>
      </c>
      <c r="E161" s="22">
        <v>1400</v>
      </c>
      <c r="F161" s="22">
        <v>1592</v>
      </c>
      <c r="G161" s="22">
        <v>3065.77</v>
      </c>
      <c r="H161" s="22">
        <v>4351.67</v>
      </c>
      <c r="I161" s="22">
        <v>1872</v>
      </c>
      <c r="J161" s="22">
        <v>1525.05</v>
      </c>
      <c r="K161" s="22">
        <v>742.95</v>
      </c>
      <c r="L161" s="22">
        <v>51642.380000000005</v>
      </c>
      <c r="M161" s="22">
        <v>2828.75</v>
      </c>
      <c r="N161" s="43">
        <v>1600.25</v>
      </c>
      <c r="O161" s="42">
        <v>17844.63</v>
      </c>
      <c r="P161" s="42">
        <v>51978.39</v>
      </c>
      <c r="Q161" s="49">
        <v>22621.64</v>
      </c>
      <c r="R161" s="39">
        <v>97261.6</v>
      </c>
      <c r="S161" s="41">
        <v>53916.61</v>
      </c>
      <c r="T161" s="41">
        <v>293914.31000000006</v>
      </c>
      <c r="U161" s="16">
        <f t="shared" si="19"/>
        <v>239997.70000000007</v>
      </c>
      <c r="V161" s="45">
        <f t="shared" si="20"/>
        <v>4.4512757756839694</v>
      </c>
    </row>
    <row r="162" spans="1:22" x14ac:dyDescent="0.2">
      <c r="A162" s="3">
        <v>707100</v>
      </c>
      <c r="B162" s="3" t="s">
        <v>394</v>
      </c>
      <c r="C162" s="1">
        <v>752105</v>
      </c>
      <c r="D162" s="1" t="s">
        <v>128</v>
      </c>
      <c r="E162" s="22">
        <v>10764.5</v>
      </c>
      <c r="F162" s="22">
        <v>10075</v>
      </c>
      <c r="G162" s="22">
        <v>17896.239999999998</v>
      </c>
      <c r="H162" s="22">
        <v>31452.45</v>
      </c>
      <c r="I162" s="22">
        <v>6210</v>
      </c>
      <c r="J162" s="22">
        <v>2.9</v>
      </c>
      <c r="K162" s="22">
        <v>980.5</v>
      </c>
      <c r="L162" s="22">
        <v>19110</v>
      </c>
      <c r="M162" s="22">
        <v>18210</v>
      </c>
      <c r="N162" s="43">
        <v>12149.44</v>
      </c>
      <c r="O162" s="42">
        <v>15814.02</v>
      </c>
      <c r="P162" s="42">
        <v>11701.94</v>
      </c>
      <c r="Q162" s="49">
        <v>13584.5</v>
      </c>
      <c r="R162" s="39">
        <v>133152.17000000001</v>
      </c>
      <c r="S162" s="41">
        <v>129109.6</v>
      </c>
      <c r="T162" s="41">
        <v>115297.43000000001</v>
      </c>
      <c r="U162" s="16">
        <f t="shared" si="19"/>
        <v>-13812.169999999998</v>
      </c>
      <c r="V162" s="45">
        <f t="shared" si="20"/>
        <v>-0.10698019357197294</v>
      </c>
    </row>
    <row r="163" spans="1:22" x14ac:dyDescent="0.2">
      <c r="A163" s="3">
        <v>707100</v>
      </c>
      <c r="B163" s="3" t="s">
        <v>394</v>
      </c>
      <c r="C163" s="1">
        <v>752110</v>
      </c>
      <c r="D163" s="1" t="s">
        <v>129</v>
      </c>
      <c r="Q163" s="49">
        <v>1395</v>
      </c>
      <c r="R163" s="49"/>
      <c r="S163" s="49"/>
      <c r="T163" s="49"/>
      <c r="U163" s="16">
        <f t="shared" si="19"/>
        <v>0</v>
      </c>
      <c r="V163" s="45" t="e">
        <f t="shared" si="20"/>
        <v>#DIV/0!</v>
      </c>
    </row>
    <row r="164" spans="1:22" x14ac:dyDescent="0.2">
      <c r="A164" s="3">
        <v>707101</v>
      </c>
      <c r="B164" s="3" t="s">
        <v>395</v>
      </c>
      <c r="C164" s="1">
        <v>752115</v>
      </c>
      <c r="D164" s="1" t="s">
        <v>130</v>
      </c>
      <c r="E164" s="22">
        <v>14515</v>
      </c>
      <c r="F164" s="22">
        <v>10395</v>
      </c>
      <c r="G164" s="22">
        <v>7259.17</v>
      </c>
      <c r="H164" s="22">
        <v>8852</v>
      </c>
      <c r="I164" s="22"/>
      <c r="J164" s="22"/>
      <c r="K164" s="22"/>
      <c r="L164" s="22"/>
      <c r="M164" s="22"/>
      <c r="N164" s="22"/>
      <c r="O164" s="22"/>
      <c r="P164" s="22">
        <v>206.95</v>
      </c>
      <c r="Q164" s="49">
        <v>2243</v>
      </c>
      <c r="R164" s="49"/>
      <c r="S164" s="49"/>
      <c r="T164" s="49"/>
      <c r="U164" s="16">
        <f t="shared" si="19"/>
        <v>0</v>
      </c>
      <c r="V164" s="45" t="e">
        <f t="shared" si="20"/>
        <v>#DIV/0!</v>
      </c>
    </row>
    <row r="165" spans="1:22" x14ac:dyDescent="0.2">
      <c r="A165" s="3">
        <v>707153</v>
      </c>
      <c r="B165" s="3" t="s">
        <v>399</v>
      </c>
      <c r="C165" s="1">
        <v>753100</v>
      </c>
      <c r="D165" s="1" t="s">
        <v>131</v>
      </c>
      <c r="E165" s="22">
        <v>63.95</v>
      </c>
      <c r="F165" s="22"/>
      <c r="G165" s="22">
        <v>6848.66</v>
      </c>
      <c r="H165" s="22"/>
      <c r="I165" s="22">
        <v>181.25</v>
      </c>
      <c r="J165" s="22">
        <v>2000</v>
      </c>
      <c r="K165" s="22"/>
      <c r="L165" s="22"/>
      <c r="M165" s="22"/>
      <c r="N165" s="22"/>
      <c r="O165" s="22"/>
      <c r="P165" s="22"/>
      <c r="Q165" s="49">
        <v>1257</v>
      </c>
      <c r="R165" s="39">
        <v>164796.87</v>
      </c>
      <c r="S165" s="41">
        <v>267883.34999999998</v>
      </c>
      <c r="T165" s="41">
        <v>403021.49</v>
      </c>
      <c r="U165" s="16">
        <f t="shared" si="19"/>
        <v>135138.14000000001</v>
      </c>
      <c r="V165" s="45">
        <f t="shared" si="20"/>
        <v>0.50446636567744885</v>
      </c>
    </row>
    <row r="166" spans="1:22" x14ac:dyDescent="0.2">
      <c r="A166" s="3">
        <v>707001</v>
      </c>
      <c r="B166" s="3" t="s">
        <v>392</v>
      </c>
      <c r="C166" s="1">
        <v>761100</v>
      </c>
      <c r="D166" s="1" t="s">
        <v>132</v>
      </c>
      <c r="E166" s="22"/>
      <c r="F166" s="22"/>
      <c r="G166" s="22"/>
      <c r="H166" s="22">
        <v>439</v>
      </c>
      <c r="I166" s="22">
        <v>2402.1799999999998</v>
      </c>
      <c r="J166" s="22"/>
      <c r="K166" s="22"/>
      <c r="L166" s="22"/>
      <c r="M166" s="22"/>
      <c r="N166" s="43">
        <v>9040</v>
      </c>
      <c r="O166" s="22"/>
      <c r="P166" s="22"/>
      <c r="Q166" s="22"/>
      <c r="R166" s="22"/>
      <c r="S166" s="22"/>
      <c r="T166" s="22"/>
      <c r="U166" s="16">
        <f t="shared" si="19"/>
        <v>0</v>
      </c>
      <c r="V166" s="45" t="e">
        <f t="shared" si="20"/>
        <v>#DIV/0!</v>
      </c>
    </row>
    <row r="167" spans="1:22" x14ac:dyDescent="0.2">
      <c r="A167" s="3">
        <v>707001</v>
      </c>
      <c r="B167" s="3" t="s">
        <v>392</v>
      </c>
      <c r="C167" s="1">
        <v>761104</v>
      </c>
      <c r="D167" s="1" t="s">
        <v>133</v>
      </c>
      <c r="E167" s="22"/>
      <c r="F167" s="22"/>
      <c r="G167" s="22"/>
      <c r="H167" s="22"/>
      <c r="I167" s="22"/>
      <c r="J167" s="22"/>
      <c r="K167" s="22"/>
      <c r="L167" s="22">
        <v>3851.06</v>
      </c>
      <c r="M167" s="22">
        <v>3081.07</v>
      </c>
      <c r="N167" s="43">
        <v>262.42</v>
      </c>
      <c r="O167" s="42">
        <v>1331.76</v>
      </c>
      <c r="P167" s="42">
        <v>127.86</v>
      </c>
      <c r="Q167" s="49">
        <v>1529.89</v>
      </c>
      <c r="R167" s="49"/>
      <c r="S167" s="49"/>
      <c r="T167" s="49"/>
      <c r="U167" s="16">
        <f t="shared" si="19"/>
        <v>0</v>
      </c>
      <c r="V167" s="45" t="e">
        <f t="shared" si="20"/>
        <v>#DIV/0!</v>
      </c>
    </row>
    <row r="168" spans="1:22" x14ac:dyDescent="0.2">
      <c r="A168" s="3">
        <v>707150</v>
      </c>
      <c r="B168" s="3" t="s">
        <v>396</v>
      </c>
      <c r="C168" s="1">
        <v>763105</v>
      </c>
      <c r="D168" s="1" t="s">
        <v>134</v>
      </c>
      <c r="E168" s="22">
        <v>10198.84</v>
      </c>
      <c r="F168" s="22">
        <v>42982.44</v>
      </c>
      <c r="G168" s="22">
        <v>12477.78</v>
      </c>
      <c r="H168" s="22">
        <v>9019.7999999999993</v>
      </c>
      <c r="I168" s="22">
        <v>23857.660000000003</v>
      </c>
      <c r="J168" s="22">
        <v>32513.18</v>
      </c>
      <c r="K168" s="22">
        <v>10991.66</v>
      </c>
      <c r="L168" s="22">
        <v>30515.589999999997</v>
      </c>
      <c r="M168" s="22">
        <v>41521.58</v>
      </c>
      <c r="N168" s="43">
        <v>22103.050000000003</v>
      </c>
      <c r="O168" s="42">
        <v>4748.68</v>
      </c>
      <c r="P168" s="42">
        <v>3821.39</v>
      </c>
      <c r="Q168" s="49">
        <v>104170.68</v>
      </c>
      <c r="R168" s="39">
        <v>279530.70999999996</v>
      </c>
      <c r="S168" s="41">
        <v>186249.83000000002</v>
      </c>
      <c r="T168" s="41">
        <v>69358.01999999999</v>
      </c>
      <c r="U168" s="16">
        <f t="shared" si="19"/>
        <v>-116891.81000000003</v>
      </c>
      <c r="V168" s="45">
        <f t="shared" si="20"/>
        <v>-0.6276076064069428</v>
      </c>
    </row>
    <row r="169" spans="1:22" x14ac:dyDescent="0.2">
      <c r="A169" s="3">
        <v>707153</v>
      </c>
      <c r="B169" s="3" t="s">
        <v>399</v>
      </c>
      <c r="C169" s="1">
        <v>764100</v>
      </c>
      <c r="D169" s="1" t="s">
        <v>135</v>
      </c>
      <c r="E169" s="22">
        <v>1273.25</v>
      </c>
      <c r="F169" s="22">
        <v>1351.54</v>
      </c>
      <c r="G169" s="22">
        <v>567.87</v>
      </c>
      <c r="H169" s="22">
        <v>769.79</v>
      </c>
      <c r="I169" s="22">
        <v>1215.1300000000001</v>
      </c>
      <c r="J169" s="22">
        <v>498.13</v>
      </c>
      <c r="K169" s="22">
        <v>867.75</v>
      </c>
      <c r="L169" s="22"/>
      <c r="M169" s="22"/>
      <c r="N169" s="22"/>
      <c r="O169" s="22"/>
      <c r="P169" s="22"/>
      <c r="Q169" s="22"/>
      <c r="R169" s="22"/>
      <c r="S169" s="22"/>
      <c r="T169" s="22"/>
      <c r="U169" s="16">
        <f t="shared" si="19"/>
        <v>0</v>
      </c>
      <c r="V169" s="45" t="e">
        <f t="shared" si="20"/>
        <v>#DIV/0!</v>
      </c>
    </row>
    <row r="170" spans="1:22" x14ac:dyDescent="0.2">
      <c r="A170" s="3">
        <v>707152</v>
      </c>
      <c r="B170" s="3" t="s">
        <v>398</v>
      </c>
      <c r="C170" s="1">
        <v>764104</v>
      </c>
      <c r="D170" s="1" t="s">
        <v>136</v>
      </c>
      <c r="E170" s="22">
        <v>15312.03</v>
      </c>
      <c r="F170" s="22">
        <v>15929.51</v>
      </c>
      <c r="G170" s="22">
        <v>15836.49</v>
      </c>
      <c r="H170" s="22">
        <v>18537.600000000002</v>
      </c>
      <c r="I170" s="22">
        <v>14231.25</v>
      </c>
      <c r="J170" s="22">
        <v>15586.9</v>
      </c>
      <c r="K170" s="22">
        <v>16859.060000000001</v>
      </c>
      <c r="L170" s="22">
        <v>22410.34</v>
      </c>
      <c r="M170" s="22">
        <v>18670.260000000002</v>
      </c>
      <c r="N170" s="43">
        <v>20035.490000000002</v>
      </c>
      <c r="O170" s="42">
        <v>19044.98</v>
      </c>
      <c r="P170" s="42">
        <v>16766.760000000002</v>
      </c>
      <c r="Q170" s="49">
        <v>13529.25</v>
      </c>
      <c r="R170" s="39">
        <v>15782.54</v>
      </c>
      <c r="S170" s="41">
        <v>17628.559999999998</v>
      </c>
      <c r="T170" s="41">
        <v>21002.059999999998</v>
      </c>
      <c r="U170" s="16">
        <f t="shared" si="19"/>
        <v>3373.5</v>
      </c>
      <c r="V170" s="45">
        <f t="shared" si="20"/>
        <v>0.19136560218191392</v>
      </c>
    </row>
    <row r="171" spans="1:22" x14ac:dyDescent="0.2">
      <c r="A171" s="3">
        <v>707151</v>
      </c>
      <c r="B171" s="3" t="s">
        <v>397</v>
      </c>
      <c r="C171" s="1">
        <v>764110</v>
      </c>
      <c r="D171" s="1" t="s">
        <v>137</v>
      </c>
      <c r="E171" s="22">
        <v>67729.850000000006</v>
      </c>
      <c r="F171" s="22">
        <v>34723.96</v>
      </c>
      <c r="G171" s="22">
        <v>58601.789999999994</v>
      </c>
      <c r="H171" s="22">
        <v>48018.83</v>
      </c>
      <c r="I171" s="22">
        <v>45606.87</v>
      </c>
      <c r="J171" s="22">
        <v>45876.4</v>
      </c>
      <c r="K171" s="22">
        <v>46729.41</v>
      </c>
      <c r="L171" s="22">
        <v>47571.8</v>
      </c>
      <c r="M171" s="22">
        <v>56897.110000000008</v>
      </c>
      <c r="N171" s="43">
        <v>59163.959999999985</v>
      </c>
      <c r="O171" s="42">
        <v>61160.769999999982</v>
      </c>
      <c r="P171" s="42">
        <v>66837.060000000012</v>
      </c>
      <c r="Q171" s="49">
        <v>68796.3</v>
      </c>
      <c r="R171" s="39">
        <v>-27962.820000000029</v>
      </c>
      <c r="S171" s="41">
        <v>-45934.660000000033</v>
      </c>
      <c r="T171" s="41">
        <v>-53604.029999999984</v>
      </c>
      <c r="U171" s="16">
        <f t="shared" si="19"/>
        <v>-7669.3699999999517</v>
      </c>
      <c r="V171" s="45">
        <f t="shared" si="20"/>
        <v>0.16696259425888743</v>
      </c>
    </row>
    <row r="172" spans="1:22" x14ac:dyDescent="0.2">
      <c r="A172" s="3">
        <v>707151</v>
      </c>
      <c r="B172" s="3" t="s">
        <v>397</v>
      </c>
      <c r="C172" s="1">
        <v>764120</v>
      </c>
      <c r="D172" s="1" t="s">
        <v>138</v>
      </c>
      <c r="E172" s="22">
        <v>155.55000000000001</v>
      </c>
      <c r="F172" s="22">
        <v>163.12</v>
      </c>
      <c r="G172" s="22">
        <v>157.02999999999997</v>
      </c>
      <c r="H172" s="22">
        <v>218.14</v>
      </c>
      <c r="I172" s="22">
        <v>325.29000000000002</v>
      </c>
      <c r="J172" s="22">
        <v>225.37</v>
      </c>
      <c r="K172" s="22">
        <v>399.54</v>
      </c>
      <c r="L172" s="22">
        <v>276.24</v>
      </c>
      <c r="M172" s="22">
        <v>233.54999999999998</v>
      </c>
      <c r="N172" s="43">
        <v>212.49</v>
      </c>
      <c r="O172" s="42">
        <v>184.27999999999997</v>
      </c>
      <c r="P172" s="42">
        <v>132.13</v>
      </c>
      <c r="Q172" s="49">
        <v>123.82000000000001</v>
      </c>
      <c r="R172" s="49"/>
      <c r="S172" s="49"/>
      <c r="T172" s="49"/>
      <c r="U172" s="16">
        <f t="shared" si="19"/>
        <v>0</v>
      </c>
      <c r="V172" s="45" t="e">
        <f t="shared" si="20"/>
        <v>#DIV/0!</v>
      </c>
    </row>
    <row r="173" spans="1:22" x14ac:dyDescent="0.2">
      <c r="C173" s="1">
        <v>764130</v>
      </c>
      <c r="D173" s="1" t="s">
        <v>139</v>
      </c>
      <c r="E173" s="22">
        <v>0.8</v>
      </c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  <c r="S173" s="22"/>
      <c r="T173" s="22"/>
      <c r="U173" s="16">
        <f t="shared" si="19"/>
        <v>0</v>
      </c>
      <c r="V173" s="45" t="e">
        <f t="shared" si="20"/>
        <v>#DIV/0!</v>
      </c>
    </row>
    <row r="174" spans="1:22" x14ac:dyDescent="0.2">
      <c r="A174" s="3">
        <v>707151</v>
      </c>
      <c r="B174" s="3" t="s">
        <v>397</v>
      </c>
      <c r="C174" s="1">
        <v>764140</v>
      </c>
      <c r="D174" s="1" t="s">
        <v>140</v>
      </c>
      <c r="U174" s="16">
        <f t="shared" si="19"/>
        <v>0</v>
      </c>
      <c r="V174" s="45" t="e">
        <f t="shared" si="20"/>
        <v>#DIV/0!</v>
      </c>
    </row>
    <row r="175" spans="1:22" x14ac:dyDescent="0.2">
      <c r="A175" s="3">
        <v>707300</v>
      </c>
      <c r="B175" s="3" t="s">
        <v>401</v>
      </c>
      <c r="C175" s="1">
        <v>771100</v>
      </c>
      <c r="D175" s="1" t="s">
        <v>141</v>
      </c>
      <c r="E175" s="22">
        <v>9473.81</v>
      </c>
      <c r="F175" s="22">
        <v>17187.61</v>
      </c>
      <c r="G175" s="22">
        <v>4920.76</v>
      </c>
      <c r="H175" s="22">
        <v>4277.26</v>
      </c>
      <c r="I175" s="22">
        <v>9072.24</v>
      </c>
      <c r="J175" s="22">
        <v>9903.91</v>
      </c>
      <c r="K175" s="22">
        <v>25129.210000000003</v>
      </c>
      <c r="L175" s="22">
        <v>11790.34</v>
      </c>
      <c r="M175" s="22">
        <v>8155.38</v>
      </c>
      <c r="N175" s="43">
        <v>610.88</v>
      </c>
      <c r="O175" s="42">
        <v>762.19</v>
      </c>
      <c r="P175" s="42">
        <v>1219.81</v>
      </c>
      <c r="Q175" s="49">
        <v>462.84000000000003</v>
      </c>
      <c r="R175" s="49"/>
      <c r="S175" s="49"/>
      <c r="T175" s="49"/>
      <c r="U175" s="16">
        <f t="shared" si="19"/>
        <v>0</v>
      </c>
      <c r="V175" s="45" t="e">
        <f t="shared" si="20"/>
        <v>#DIV/0!</v>
      </c>
    </row>
    <row r="176" spans="1:22" x14ac:dyDescent="0.2">
      <c r="A176" s="3">
        <v>707300</v>
      </c>
      <c r="B176" s="3" t="s">
        <v>401</v>
      </c>
      <c r="C176" s="1">
        <v>771105</v>
      </c>
      <c r="D176" s="1" t="s">
        <v>142</v>
      </c>
      <c r="U176" s="16">
        <f t="shared" si="19"/>
        <v>0</v>
      </c>
      <c r="V176" s="45" t="e">
        <f t="shared" si="20"/>
        <v>#DIV/0!</v>
      </c>
    </row>
    <row r="177" spans="1:22" x14ac:dyDescent="0.2">
      <c r="A177" s="3">
        <v>707300</v>
      </c>
      <c r="B177" s="3" t="s">
        <v>401</v>
      </c>
      <c r="C177" s="1">
        <v>771110</v>
      </c>
      <c r="D177" s="1" t="s">
        <v>143</v>
      </c>
      <c r="E177" s="22">
        <v>1620.55</v>
      </c>
      <c r="F177" s="22">
        <v>2286.65</v>
      </c>
      <c r="G177" s="22">
        <v>1730.45</v>
      </c>
      <c r="H177" s="22">
        <v>7187.47</v>
      </c>
      <c r="I177" s="22">
        <v>7087.1500000000005</v>
      </c>
      <c r="J177" s="22">
        <v>9722.76</v>
      </c>
      <c r="K177" s="22">
        <v>12312.36</v>
      </c>
      <c r="L177" s="22">
        <v>16683.34</v>
      </c>
      <c r="M177" s="22">
        <v>28993.599999999999</v>
      </c>
      <c r="N177" s="43">
        <v>16825.95</v>
      </c>
      <c r="O177" s="42">
        <v>19687.010000000002</v>
      </c>
      <c r="P177" s="42">
        <v>14302.85</v>
      </c>
      <c r="Q177" s="49">
        <v>17883.89</v>
      </c>
      <c r="R177" s="39">
        <v>40424.380000000005</v>
      </c>
      <c r="S177" s="41">
        <v>78455.260000000009</v>
      </c>
      <c r="T177" s="41">
        <v>32714.640000000003</v>
      </c>
      <c r="U177" s="16">
        <f t="shared" si="19"/>
        <v>-45740.62000000001</v>
      </c>
      <c r="V177" s="45">
        <f t="shared" si="20"/>
        <v>-0.58301533893329782</v>
      </c>
    </row>
    <row r="178" spans="1:22" x14ac:dyDescent="0.2">
      <c r="A178" s="3">
        <v>707200</v>
      </c>
      <c r="B178" s="3" t="s">
        <v>400</v>
      </c>
      <c r="C178" s="1">
        <v>771115</v>
      </c>
      <c r="D178" s="1" t="s">
        <v>144</v>
      </c>
      <c r="E178" s="22">
        <v>95.95</v>
      </c>
      <c r="F178" s="22">
        <v>1499.91</v>
      </c>
      <c r="G178" s="22">
        <v>175.56</v>
      </c>
      <c r="H178" s="22"/>
      <c r="I178" s="22"/>
      <c r="J178" s="22"/>
      <c r="K178" s="22"/>
      <c r="L178" s="22"/>
      <c r="M178" s="22"/>
      <c r="N178" s="22"/>
      <c r="O178" s="42">
        <v>12827.55</v>
      </c>
      <c r="P178" s="42">
        <v>1158.19</v>
      </c>
      <c r="Q178" s="42"/>
      <c r="R178" s="39">
        <v>7774.5</v>
      </c>
      <c r="S178" s="39"/>
      <c r="T178" s="39"/>
      <c r="U178" s="16">
        <f t="shared" si="19"/>
        <v>0</v>
      </c>
      <c r="V178" s="45" t="e">
        <f t="shared" si="20"/>
        <v>#DIV/0!</v>
      </c>
    </row>
    <row r="179" spans="1:22" x14ac:dyDescent="0.2">
      <c r="A179" s="3">
        <v>707306</v>
      </c>
      <c r="B179" s="3" t="s">
        <v>406</v>
      </c>
      <c r="C179" s="1">
        <v>772100</v>
      </c>
      <c r="D179" s="1" t="s">
        <v>145</v>
      </c>
      <c r="E179" s="22"/>
      <c r="F179" s="22"/>
      <c r="G179" s="22">
        <v>1069.96</v>
      </c>
      <c r="H179" s="22"/>
      <c r="I179" s="22"/>
      <c r="J179" s="22"/>
      <c r="K179" s="22">
        <v>223.38</v>
      </c>
      <c r="L179" s="22">
        <v>159.97999999999999</v>
      </c>
      <c r="M179" s="22">
        <v>6894.71</v>
      </c>
      <c r="N179" s="43">
        <v>671.44</v>
      </c>
      <c r="O179" s="42">
        <v>190.8</v>
      </c>
      <c r="P179" s="42">
        <v>349.95</v>
      </c>
      <c r="Q179" s="42"/>
      <c r="R179" s="39">
        <v>12603.06</v>
      </c>
      <c r="S179" s="41">
        <v>29323.87</v>
      </c>
      <c r="T179" s="41">
        <v>16769.82</v>
      </c>
      <c r="U179" s="16">
        <f t="shared" si="19"/>
        <v>-12554.05</v>
      </c>
      <c r="V179" s="45">
        <f t="shared" si="20"/>
        <v>-0.42811709368511047</v>
      </c>
    </row>
    <row r="180" spans="1:22" x14ac:dyDescent="0.2">
      <c r="A180" s="3">
        <v>702201</v>
      </c>
      <c r="B180" s="3" t="s">
        <v>443</v>
      </c>
      <c r="C180" s="1">
        <v>772105</v>
      </c>
      <c r="D180" s="1" t="s">
        <v>146</v>
      </c>
      <c r="E180" s="22">
        <v>83.27</v>
      </c>
      <c r="F180" s="22">
        <v>34.85</v>
      </c>
      <c r="G180" s="22"/>
      <c r="H180" s="22">
        <v>280.17</v>
      </c>
      <c r="I180" s="22"/>
      <c r="J180" s="22"/>
      <c r="K180" s="22"/>
      <c r="L180" s="22"/>
      <c r="M180" s="22"/>
      <c r="N180" s="22"/>
      <c r="O180" s="22"/>
      <c r="P180" s="22"/>
      <c r="Q180" s="22"/>
      <c r="R180" s="39">
        <v>1579.99</v>
      </c>
      <c r="S180" s="41">
        <v>1787.8700000000001</v>
      </c>
      <c r="T180" s="41"/>
      <c r="U180" s="16">
        <f t="shared" si="19"/>
        <v>-1787.8700000000001</v>
      </c>
      <c r="V180" s="45">
        <f t="shared" si="20"/>
        <v>-1</v>
      </c>
    </row>
    <row r="181" spans="1:22" x14ac:dyDescent="0.2">
      <c r="A181" s="72">
        <v>702203</v>
      </c>
      <c r="B181" s="72" t="s">
        <v>464</v>
      </c>
      <c r="C181" s="1"/>
      <c r="D181" s="1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39"/>
      <c r="S181" s="41">
        <v>2425</v>
      </c>
      <c r="T181" s="41"/>
      <c r="U181" s="16">
        <f t="shared" si="19"/>
        <v>-2425</v>
      </c>
      <c r="V181" s="45">
        <f t="shared" si="20"/>
        <v>-1</v>
      </c>
    </row>
    <row r="182" spans="1:22" x14ac:dyDescent="0.2">
      <c r="A182" s="72">
        <v>707500</v>
      </c>
      <c r="B182" s="72" t="s">
        <v>480</v>
      </c>
      <c r="C182" s="1"/>
      <c r="D182" s="1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39"/>
      <c r="S182" s="41">
        <v>4000</v>
      </c>
      <c r="T182" s="41"/>
      <c r="U182" s="16">
        <f t="shared" si="19"/>
        <v>-4000</v>
      </c>
      <c r="V182" s="45">
        <f t="shared" si="20"/>
        <v>-1</v>
      </c>
    </row>
    <row r="183" spans="1:22" x14ac:dyDescent="0.2">
      <c r="A183" s="3">
        <v>707502</v>
      </c>
      <c r="B183" s="3" t="s">
        <v>444</v>
      </c>
      <c r="C183" s="1">
        <v>772115</v>
      </c>
      <c r="D183" s="1" t="s">
        <v>147</v>
      </c>
      <c r="E183" s="22">
        <v>68907.76999999999</v>
      </c>
      <c r="F183" s="22">
        <v>36789.71</v>
      </c>
      <c r="G183" s="22">
        <v>101120.39</v>
      </c>
      <c r="H183" s="22">
        <v>16765.419999999998</v>
      </c>
      <c r="I183" s="22">
        <v>8004.96</v>
      </c>
      <c r="J183" s="22">
        <v>54919.17</v>
      </c>
      <c r="K183" s="22">
        <v>4500</v>
      </c>
      <c r="L183" s="22">
        <v>29031.010000000002</v>
      </c>
      <c r="M183" s="22">
        <v>16798.260000000002</v>
      </c>
      <c r="N183" s="43">
        <v>44282.81</v>
      </c>
      <c r="O183" s="42">
        <v>63843.31</v>
      </c>
      <c r="P183" s="42">
        <v>34769.03</v>
      </c>
      <c r="Q183" s="49">
        <v>62202.720000000001</v>
      </c>
      <c r="R183" s="39">
        <v>56869.95</v>
      </c>
      <c r="S183" s="41">
        <v>3822.37</v>
      </c>
      <c r="T183" s="41">
        <v>2704.9900000000002</v>
      </c>
      <c r="U183" s="16">
        <f t="shared" si="19"/>
        <v>-1117.3799999999997</v>
      </c>
      <c r="V183" s="45">
        <f t="shared" si="20"/>
        <v>-0.29232648853983251</v>
      </c>
    </row>
    <row r="184" spans="1:22" x14ac:dyDescent="0.2">
      <c r="A184" s="3">
        <v>706501</v>
      </c>
      <c r="B184" s="3" t="s">
        <v>382</v>
      </c>
      <c r="C184" s="1">
        <v>772116</v>
      </c>
      <c r="D184" s="1" t="s">
        <v>148</v>
      </c>
      <c r="E184" s="22">
        <v>16460.2</v>
      </c>
      <c r="F184" s="22">
        <v>35433.870000000003</v>
      </c>
      <c r="G184" s="22">
        <v>7349.1</v>
      </c>
      <c r="H184" s="22"/>
      <c r="I184" s="22">
        <v>5765.2</v>
      </c>
      <c r="J184" s="22">
        <v>9441.74</v>
      </c>
      <c r="K184" s="22">
        <v>11431.25</v>
      </c>
      <c r="L184" s="22">
        <v>13956.18</v>
      </c>
      <c r="M184" s="22">
        <v>72219.91</v>
      </c>
      <c r="N184" s="43">
        <v>17175.510000000002</v>
      </c>
      <c r="O184" s="42">
        <v>44521.760000000002</v>
      </c>
      <c r="P184" s="42">
        <v>89256.12</v>
      </c>
      <c r="Q184" s="49">
        <v>62563.97</v>
      </c>
      <c r="R184" s="39">
        <v>31453.690000000002</v>
      </c>
      <c r="S184" s="41">
        <v>95856.250000000015</v>
      </c>
      <c r="T184" s="41">
        <v>60416.82</v>
      </c>
      <c r="U184" s="16">
        <f t="shared" si="19"/>
        <v>-35439.430000000015</v>
      </c>
      <c r="V184" s="45">
        <f t="shared" si="20"/>
        <v>-0.3697143378757255</v>
      </c>
    </row>
    <row r="185" spans="1:22" s="47" customFormat="1" x14ac:dyDescent="0.2">
      <c r="A185" s="47">
        <v>706502</v>
      </c>
      <c r="B185" s="47" t="s">
        <v>383</v>
      </c>
      <c r="C185" s="1">
        <v>772117</v>
      </c>
      <c r="D185" s="1" t="s">
        <v>149</v>
      </c>
      <c r="E185" s="22">
        <v>714036.78999999992</v>
      </c>
      <c r="F185" s="22">
        <v>815353.08</v>
      </c>
      <c r="G185" s="22">
        <v>136487.53</v>
      </c>
      <c r="H185" s="22">
        <v>174233.59999999998</v>
      </c>
      <c r="I185" s="22">
        <v>440517.28</v>
      </c>
      <c r="J185" s="22">
        <v>274712.14</v>
      </c>
      <c r="K185" s="22">
        <v>99846.07</v>
      </c>
      <c r="L185" s="22">
        <v>391574.55</v>
      </c>
      <c r="M185" s="22">
        <v>674165.04</v>
      </c>
      <c r="N185" s="43">
        <v>615075.18000000005</v>
      </c>
      <c r="O185" s="42">
        <v>679687.76</v>
      </c>
      <c r="P185" s="42">
        <v>312753.76999999996</v>
      </c>
      <c r="Q185" s="43">
        <v>200653.72</v>
      </c>
      <c r="R185" s="39">
        <v>1534591.6199999999</v>
      </c>
      <c r="S185" s="41">
        <v>166739.34999999998</v>
      </c>
      <c r="T185" s="41">
        <v>53020.59</v>
      </c>
      <c r="U185" s="16">
        <f t="shared" si="19"/>
        <v>-113718.75999999998</v>
      </c>
      <c r="V185" s="45">
        <f t="shared" si="20"/>
        <v>-0.68201513320041129</v>
      </c>
    </row>
    <row r="186" spans="1:22" x14ac:dyDescent="0.2">
      <c r="A186" s="3">
        <v>706503</v>
      </c>
      <c r="B186" s="3" t="s">
        <v>384</v>
      </c>
      <c r="C186" s="57">
        <v>772118</v>
      </c>
      <c r="D186" s="57" t="s">
        <v>290</v>
      </c>
      <c r="E186" s="22"/>
      <c r="F186" s="22"/>
      <c r="G186" s="22"/>
      <c r="H186" s="22"/>
      <c r="I186" s="22"/>
      <c r="J186" s="22"/>
      <c r="K186" s="22"/>
      <c r="L186" s="22">
        <v>825</v>
      </c>
      <c r="M186" s="22"/>
      <c r="N186" s="22"/>
      <c r="O186" s="42">
        <v>7639.63</v>
      </c>
      <c r="P186" s="42">
        <v>127994.11</v>
      </c>
      <c r="Q186" s="49">
        <v>49651.32</v>
      </c>
      <c r="R186" s="39">
        <v>64663.859999999993</v>
      </c>
      <c r="S186" s="41">
        <v>42432.549999999996</v>
      </c>
      <c r="T186" s="41">
        <v>188724.85</v>
      </c>
      <c r="U186" s="16">
        <f t="shared" si="19"/>
        <v>146292.30000000002</v>
      </c>
      <c r="V186" s="45">
        <f t="shared" si="20"/>
        <v>3.4476433775486042</v>
      </c>
    </row>
    <row r="187" spans="1:22" x14ac:dyDescent="0.2">
      <c r="A187" s="3">
        <v>707301</v>
      </c>
      <c r="B187" s="3" t="s">
        <v>402</v>
      </c>
      <c r="C187" s="1">
        <v>772120</v>
      </c>
      <c r="D187" s="1" t="s">
        <v>150</v>
      </c>
      <c r="E187" s="22">
        <v>2423.84</v>
      </c>
      <c r="F187" s="22">
        <v>1489</v>
      </c>
      <c r="G187" s="22">
        <v>2028.61</v>
      </c>
      <c r="H187" s="22">
        <v>2376.6999999999998</v>
      </c>
      <c r="I187" s="22">
        <v>1839.5</v>
      </c>
      <c r="J187" s="22">
        <v>11532</v>
      </c>
      <c r="K187" s="22">
        <v>10796.7</v>
      </c>
      <c r="L187" s="22">
        <v>2324.23</v>
      </c>
      <c r="M187" s="22">
        <v>4496.8999999999996</v>
      </c>
      <c r="N187" s="43">
        <v>4731.91</v>
      </c>
      <c r="O187" s="42">
        <v>2668.5</v>
      </c>
      <c r="P187" s="42">
        <v>3808.9399999999996</v>
      </c>
      <c r="Q187" s="49">
        <v>3358.6000000000004</v>
      </c>
      <c r="R187" s="39">
        <v>4009.19</v>
      </c>
      <c r="S187" s="41">
        <v>2448.6</v>
      </c>
      <c r="T187" s="41">
        <v>2683.08</v>
      </c>
      <c r="U187" s="16">
        <f t="shared" si="19"/>
        <v>234.48000000000002</v>
      </c>
      <c r="V187" s="45">
        <f t="shared" si="20"/>
        <v>9.5760842930654261E-2</v>
      </c>
    </row>
    <row r="188" spans="1:22" x14ac:dyDescent="0.2">
      <c r="A188" s="3">
        <v>702200</v>
      </c>
      <c r="B188" s="3" t="s">
        <v>74</v>
      </c>
      <c r="C188" s="1">
        <v>772125</v>
      </c>
      <c r="D188" s="1" t="s">
        <v>151</v>
      </c>
      <c r="U188" s="16">
        <f t="shared" si="19"/>
        <v>0</v>
      </c>
      <c r="V188" s="45" t="e">
        <f t="shared" si="20"/>
        <v>#DIV/0!</v>
      </c>
    </row>
    <row r="189" spans="1:22" x14ac:dyDescent="0.2">
      <c r="A189" s="3">
        <v>707303</v>
      </c>
      <c r="B189" s="3" t="s">
        <v>403</v>
      </c>
      <c r="C189" s="57">
        <v>772130</v>
      </c>
      <c r="D189" s="57" t="s">
        <v>196</v>
      </c>
      <c r="E189" s="22"/>
      <c r="F189" s="22"/>
      <c r="G189" s="22">
        <v>6170.12</v>
      </c>
      <c r="H189" s="22"/>
      <c r="I189" s="22"/>
      <c r="J189" s="22"/>
      <c r="K189" s="22"/>
      <c r="L189" s="22"/>
      <c r="M189" s="22"/>
      <c r="N189" s="22"/>
      <c r="O189" s="22"/>
      <c r="P189" s="22"/>
      <c r="Q189" s="22"/>
      <c r="R189" s="22"/>
      <c r="S189" s="41">
        <v>1373.18</v>
      </c>
      <c r="T189" s="41">
        <v>9042.65</v>
      </c>
      <c r="U189" s="16">
        <f t="shared" si="19"/>
        <v>7669.4699999999993</v>
      </c>
      <c r="V189" s="45">
        <f t="shared" si="20"/>
        <v>5.585189123057428</v>
      </c>
    </row>
    <row r="190" spans="1:22" x14ac:dyDescent="0.2">
      <c r="A190" s="3">
        <v>707304</v>
      </c>
      <c r="B190" s="3" t="s">
        <v>404</v>
      </c>
      <c r="C190" s="1">
        <v>772135</v>
      </c>
      <c r="D190" s="1" t="s">
        <v>152</v>
      </c>
      <c r="E190" s="22">
        <v>652.74</v>
      </c>
      <c r="F190" s="22">
        <v>476</v>
      </c>
      <c r="G190" s="22"/>
      <c r="H190" s="22"/>
      <c r="I190" s="22">
        <v>1084.21</v>
      </c>
      <c r="J190" s="22"/>
      <c r="K190" s="22">
        <v>77.84</v>
      </c>
      <c r="L190" s="22">
        <v>58.45</v>
      </c>
      <c r="M190" s="22"/>
      <c r="N190" s="43">
        <v>2170.27</v>
      </c>
      <c r="O190" s="42">
        <v>1055.27</v>
      </c>
      <c r="P190" s="42">
        <v>1286.02</v>
      </c>
      <c r="Q190" s="49">
        <v>1458.05</v>
      </c>
      <c r="R190" s="39">
        <v>5697.49</v>
      </c>
      <c r="S190" s="41">
        <v>9378.5099999999984</v>
      </c>
      <c r="T190" s="41">
        <v>62884.1</v>
      </c>
      <c r="U190" s="16">
        <f t="shared" si="19"/>
        <v>53505.59</v>
      </c>
      <c r="V190" s="45">
        <f t="shared" si="20"/>
        <v>5.705126933809316</v>
      </c>
    </row>
    <row r="191" spans="1:22" x14ac:dyDescent="0.2">
      <c r="A191" s="3">
        <v>707309</v>
      </c>
      <c r="B191" s="3" t="s">
        <v>408</v>
      </c>
      <c r="C191" s="1">
        <v>772140</v>
      </c>
      <c r="D191" s="1" t="s">
        <v>153</v>
      </c>
      <c r="E191" s="22">
        <v>20191.18</v>
      </c>
      <c r="F191" s="22">
        <v>18496.22</v>
      </c>
      <c r="G191" s="22">
        <v>59024.659999999996</v>
      </c>
      <c r="H191" s="22">
        <v>23833.06</v>
      </c>
      <c r="I191" s="22">
        <v>16631.04</v>
      </c>
      <c r="J191" s="22">
        <v>14877.36</v>
      </c>
      <c r="K191" s="22">
        <v>10340.969999999999</v>
      </c>
      <c r="L191" s="22">
        <v>20426.780000000002</v>
      </c>
      <c r="M191" s="22">
        <v>10896.04</v>
      </c>
      <c r="N191" s="43">
        <v>2835.58</v>
      </c>
      <c r="O191" s="42">
        <v>9027.01</v>
      </c>
      <c r="P191" s="42">
        <v>15889.08</v>
      </c>
      <c r="Q191" s="49">
        <v>7661.02</v>
      </c>
      <c r="R191" s="39">
        <v>52235.59</v>
      </c>
      <c r="S191" s="41">
        <v>31152.81</v>
      </c>
      <c r="T191" s="41">
        <v>45756.210000000006</v>
      </c>
      <c r="U191" s="16">
        <f t="shared" si="19"/>
        <v>14603.400000000005</v>
      </c>
      <c r="V191" s="45">
        <f t="shared" si="20"/>
        <v>0.46876670194438336</v>
      </c>
    </row>
    <row r="192" spans="1:22" x14ac:dyDescent="0.2">
      <c r="A192" s="3">
        <v>707307</v>
      </c>
      <c r="B192" s="3" t="s">
        <v>407</v>
      </c>
      <c r="C192" s="1">
        <v>772150</v>
      </c>
      <c r="D192" s="1" t="s">
        <v>154</v>
      </c>
      <c r="Q192" s="42"/>
      <c r="R192" s="39">
        <v>2476.4500000000003</v>
      </c>
      <c r="S192" s="39"/>
      <c r="T192" s="41">
        <v>81218.95</v>
      </c>
      <c r="U192" s="16">
        <f t="shared" si="19"/>
        <v>81218.95</v>
      </c>
      <c r="V192" s="45" t="e">
        <f t="shared" si="20"/>
        <v>#DIV/0!</v>
      </c>
    </row>
    <row r="193" spans="1:22" x14ac:dyDescent="0.2">
      <c r="A193" s="3">
        <v>707308</v>
      </c>
      <c r="B193" s="3" t="s">
        <v>445</v>
      </c>
      <c r="C193" s="57">
        <v>772155</v>
      </c>
      <c r="D193" s="57" t="s">
        <v>260</v>
      </c>
      <c r="E193" s="22"/>
      <c r="F193" s="22">
        <v>6317.6</v>
      </c>
      <c r="G193" s="22"/>
      <c r="H193" s="22"/>
      <c r="I193" s="22"/>
      <c r="J193" s="22"/>
      <c r="K193" s="22"/>
      <c r="L193" s="22"/>
      <c r="M193" s="22"/>
      <c r="N193" s="22"/>
      <c r="O193" s="22"/>
      <c r="P193" s="22"/>
      <c r="U193" s="16">
        <f t="shared" si="19"/>
        <v>0</v>
      </c>
      <c r="V193" s="45" t="e">
        <f t="shared" si="20"/>
        <v>#DIV/0!</v>
      </c>
    </row>
    <row r="194" spans="1:22" x14ac:dyDescent="0.2">
      <c r="A194" s="3">
        <v>707350</v>
      </c>
      <c r="B194" s="3" t="s">
        <v>409</v>
      </c>
      <c r="C194" s="1">
        <v>773100</v>
      </c>
      <c r="D194" s="1" t="s">
        <v>155</v>
      </c>
      <c r="E194" s="22">
        <v>54</v>
      </c>
      <c r="F194" s="22"/>
      <c r="G194" s="22">
        <v>37.910000000000004</v>
      </c>
      <c r="H194" s="22"/>
      <c r="I194" s="22"/>
      <c r="J194" s="22"/>
      <c r="K194" s="22">
        <v>29.95</v>
      </c>
      <c r="L194" s="22">
        <v>285.82</v>
      </c>
      <c r="M194" s="22">
        <v>312.89</v>
      </c>
      <c r="N194" s="43">
        <v>3343.8</v>
      </c>
      <c r="O194" s="42">
        <v>763.6</v>
      </c>
      <c r="P194" s="42">
        <v>262.45</v>
      </c>
      <c r="Q194" s="49">
        <v>303.85000000000002</v>
      </c>
      <c r="R194" s="39">
        <v>-33167.1</v>
      </c>
      <c r="S194" s="41">
        <v>-11454.12</v>
      </c>
      <c r="T194" s="41">
        <v>123.10999999999997</v>
      </c>
      <c r="U194" s="16">
        <f t="shared" si="19"/>
        <v>11577.230000000001</v>
      </c>
      <c r="V194" s="45">
        <f t="shared" si="20"/>
        <v>-1.0107480976277532</v>
      </c>
    </row>
    <row r="195" spans="1:22" x14ac:dyDescent="0.2">
      <c r="A195" s="3">
        <v>707350</v>
      </c>
      <c r="B195" s="3" t="s">
        <v>409</v>
      </c>
      <c r="C195" s="1">
        <v>773110</v>
      </c>
      <c r="D195" s="1" t="s">
        <v>156</v>
      </c>
      <c r="E195" s="22">
        <v>500</v>
      </c>
      <c r="F195" s="22"/>
      <c r="G195" s="22"/>
      <c r="H195" s="22"/>
      <c r="I195" s="22"/>
      <c r="J195" s="22"/>
      <c r="K195" s="22"/>
      <c r="L195" s="22"/>
      <c r="M195" s="22"/>
      <c r="N195" s="22"/>
      <c r="O195" s="42"/>
      <c r="P195" s="42"/>
      <c r="Q195" s="42"/>
      <c r="R195" s="42"/>
      <c r="S195" s="42"/>
      <c r="T195" s="42"/>
      <c r="U195" s="16">
        <f t="shared" si="19"/>
        <v>0</v>
      </c>
      <c r="V195" s="45" t="e">
        <f t="shared" si="20"/>
        <v>#DIV/0!</v>
      </c>
    </row>
    <row r="196" spans="1:22" x14ac:dyDescent="0.2">
      <c r="A196" s="3">
        <v>707403</v>
      </c>
      <c r="B196" s="3" t="s">
        <v>410</v>
      </c>
      <c r="C196" s="1">
        <v>773115</v>
      </c>
      <c r="D196" s="1" t="s">
        <v>157</v>
      </c>
      <c r="E196" s="22">
        <v>482.5</v>
      </c>
      <c r="F196" s="22">
        <v>2.64</v>
      </c>
      <c r="G196" s="22"/>
      <c r="H196" s="22">
        <v>1025.45</v>
      </c>
      <c r="I196" s="22">
        <v>1580.3</v>
      </c>
      <c r="J196" s="22">
        <v>717.18000000000006</v>
      </c>
      <c r="K196" s="22">
        <v>3617.63</v>
      </c>
      <c r="L196" s="22">
        <v>4081.87</v>
      </c>
      <c r="M196" s="22">
        <v>1804.25</v>
      </c>
      <c r="N196" s="22"/>
      <c r="O196" s="42">
        <v>1702.64</v>
      </c>
      <c r="P196" s="42">
        <v>2043.6000000000001</v>
      </c>
      <c r="Q196" s="42"/>
      <c r="R196" s="42"/>
      <c r="S196" s="41">
        <v>2120.39</v>
      </c>
      <c r="T196" s="41">
        <v>3850</v>
      </c>
      <c r="U196" s="16">
        <f t="shared" si="19"/>
        <v>1729.6100000000001</v>
      </c>
      <c r="V196" s="45">
        <f t="shared" si="20"/>
        <v>0.8157037148826396</v>
      </c>
    </row>
    <row r="197" spans="1:22" x14ac:dyDescent="0.2">
      <c r="A197" s="3">
        <v>707400</v>
      </c>
      <c r="B197" s="3" t="s">
        <v>158</v>
      </c>
      <c r="C197" s="1">
        <v>773120</v>
      </c>
      <c r="D197" s="1" t="s">
        <v>158</v>
      </c>
      <c r="E197" s="22">
        <v>466.59000000000003</v>
      </c>
      <c r="F197" s="22">
        <v>1495.41</v>
      </c>
      <c r="G197" s="22">
        <v>262.25</v>
      </c>
      <c r="H197" s="22">
        <v>109.44</v>
      </c>
      <c r="I197" s="22">
        <v>151.71</v>
      </c>
      <c r="J197" s="22">
        <v>260.89999999999998</v>
      </c>
      <c r="K197" s="22">
        <v>155.02000000000001</v>
      </c>
      <c r="L197" s="22">
        <v>70.710000000000008</v>
      </c>
      <c r="M197" s="22">
        <v>125.73</v>
      </c>
      <c r="N197" s="43">
        <v>51.17</v>
      </c>
      <c r="O197" s="42">
        <v>103.83</v>
      </c>
      <c r="P197" s="42">
        <v>63.410000000000004</v>
      </c>
      <c r="Q197" s="49">
        <v>71.77</v>
      </c>
      <c r="R197" s="39">
        <v>869.21</v>
      </c>
      <c r="S197" s="41">
        <v>2344.6699999999996</v>
      </c>
      <c r="T197" s="41">
        <v>294.20000000000005</v>
      </c>
      <c r="U197" s="16">
        <f t="shared" si="19"/>
        <v>-2050.4699999999993</v>
      </c>
      <c r="V197" s="45">
        <f t="shared" si="20"/>
        <v>-0.87452392021051994</v>
      </c>
    </row>
    <row r="198" spans="1:22" x14ac:dyDescent="0.2">
      <c r="A198" s="3">
        <v>702105</v>
      </c>
      <c r="B198" s="3" t="s">
        <v>350</v>
      </c>
      <c r="C198" s="1">
        <v>773125</v>
      </c>
      <c r="D198" s="1" t="s">
        <v>159</v>
      </c>
      <c r="E198" s="22"/>
      <c r="F198" s="22"/>
      <c r="G198" s="22">
        <v>30555.24</v>
      </c>
      <c r="H198" s="22"/>
      <c r="I198" s="22"/>
      <c r="J198" s="22">
        <v>32704</v>
      </c>
      <c r="K198" s="22"/>
      <c r="L198" s="22"/>
      <c r="M198" s="22"/>
      <c r="N198" s="22"/>
      <c r="O198" s="22"/>
      <c r="P198" s="22">
        <v>1375</v>
      </c>
      <c r="Q198" s="22"/>
      <c r="R198" s="36"/>
      <c r="S198" s="36"/>
      <c r="T198" s="36"/>
      <c r="U198" s="16">
        <f t="shared" si="19"/>
        <v>0</v>
      </c>
      <c r="V198" s="45" t="e">
        <f t="shared" si="20"/>
        <v>#DIV/0!</v>
      </c>
    </row>
    <row r="199" spans="1:22" x14ac:dyDescent="0.2">
      <c r="A199" s="3">
        <v>707505</v>
      </c>
      <c r="B199" s="3" t="s">
        <v>413</v>
      </c>
      <c r="C199" s="1">
        <v>773130</v>
      </c>
      <c r="D199" s="1" t="s">
        <v>160</v>
      </c>
      <c r="E199" s="22">
        <v>871.77</v>
      </c>
      <c r="F199" s="22">
        <v>1279</v>
      </c>
      <c r="G199" s="22"/>
      <c r="H199" s="22"/>
      <c r="I199" s="22"/>
      <c r="J199" s="22"/>
      <c r="K199" s="22"/>
      <c r="L199" s="22"/>
      <c r="M199" s="22"/>
      <c r="N199" s="22"/>
      <c r="O199" s="22"/>
      <c r="P199" s="22"/>
      <c r="Q199" s="49">
        <v>3900</v>
      </c>
      <c r="R199" s="39">
        <v>19699.28</v>
      </c>
      <c r="S199" s="41">
        <v>18420</v>
      </c>
      <c r="T199" s="41">
        <v>17844</v>
      </c>
      <c r="U199" s="16">
        <f t="shared" si="19"/>
        <v>-576</v>
      </c>
      <c r="V199" s="45">
        <f t="shared" si="20"/>
        <v>-3.1270358306188926E-2</v>
      </c>
    </row>
    <row r="200" spans="1:22" x14ac:dyDescent="0.2">
      <c r="A200" s="3">
        <v>707505</v>
      </c>
      <c r="B200" s="3" t="s">
        <v>413</v>
      </c>
      <c r="C200" s="1">
        <v>773135</v>
      </c>
      <c r="D200" s="1" t="s">
        <v>161</v>
      </c>
      <c r="E200" s="22"/>
      <c r="F200" s="22"/>
      <c r="G200" s="22"/>
      <c r="H200" s="22">
        <v>19221.560000000001</v>
      </c>
      <c r="I200" s="22"/>
      <c r="J200" s="22">
        <v>3792.71</v>
      </c>
      <c r="K200" s="22"/>
      <c r="L200" s="22"/>
      <c r="M200" s="22"/>
      <c r="N200" s="22"/>
      <c r="O200" s="22"/>
      <c r="P200" s="22"/>
      <c r="Q200" s="22"/>
      <c r="R200" s="22"/>
      <c r="S200" s="22"/>
      <c r="T200" s="22"/>
      <c r="U200" s="16">
        <f t="shared" si="19"/>
        <v>0</v>
      </c>
      <c r="V200" s="45" t="e">
        <f t="shared" si="20"/>
        <v>#DIV/0!</v>
      </c>
    </row>
    <row r="201" spans="1:22" x14ac:dyDescent="0.2">
      <c r="A201" s="3">
        <v>707452</v>
      </c>
      <c r="B201" s="3" t="s">
        <v>412</v>
      </c>
      <c r="C201" s="1">
        <v>773141</v>
      </c>
      <c r="D201" s="1" t="s">
        <v>162</v>
      </c>
      <c r="E201" s="22">
        <v>695.1</v>
      </c>
      <c r="F201" s="22">
        <v>2172.6</v>
      </c>
      <c r="G201" s="22">
        <v>5115.6000000000004</v>
      </c>
      <c r="H201" s="22">
        <v>2131.5</v>
      </c>
      <c r="I201" s="22">
        <v>115.8</v>
      </c>
      <c r="J201" s="22">
        <v>336</v>
      </c>
      <c r="K201" s="22"/>
      <c r="L201" s="22"/>
      <c r="M201" s="22"/>
      <c r="N201" s="43">
        <v>332.5</v>
      </c>
      <c r="O201" s="22"/>
      <c r="P201" s="22">
        <v>42.75</v>
      </c>
      <c r="Q201" s="22"/>
      <c r="R201" s="39">
        <v>80868.73</v>
      </c>
      <c r="S201" s="41">
        <v>80329.75</v>
      </c>
      <c r="T201" s="41">
        <v>77579.009999999995</v>
      </c>
      <c r="U201" s="16">
        <f t="shared" si="19"/>
        <v>-2750.7400000000052</v>
      </c>
      <c r="V201" s="45">
        <f t="shared" si="20"/>
        <v>-3.4243104204855677E-2</v>
      </c>
    </row>
    <row r="202" spans="1:22" x14ac:dyDescent="0.2">
      <c r="A202" s="3">
        <v>707450</v>
      </c>
      <c r="B202" s="3" t="s">
        <v>411</v>
      </c>
      <c r="C202" s="57">
        <v>773142</v>
      </c>
      <c r="D202" s="57" t="s">
        <v>197</v>
      </c>
      <c r="E202" s="22">
        <v>6372.5</v>
      </c>
      <c r="F202" s="22">
        <v>1777.5</v>
      </c>
      <c r="G202" s="22"/>
      <c r="H202" s="22"/>
      <c r="I202" s="22"/>
      <c r="J202" s="22"/>
      <c r="K202" s="22"/>
      <c r="L202" s="22"/>
      <c r="M202" s="22">
        <v>9845</v>
      </c>
      <c r="N202" s="43">
        <v>8950</v>
      </c>
      <c r="O202" s="22"/>
      <c r="P202" s="22"/>
      <c r="Q202" s="22"/>
      <c r="R202" s="39">
        <v>66022.17</v>
      </c>
      <c r="S202" s="41">
        <v>52397.9</v>
      </c>
      <c r="T202" s="41">
        <v>58657.67</v>
      </c>
      <c r="U202" s="16">
        <f t="shared" si="19"/>
        <v>6259.7699999999968</v>
      </c>
      <c r="V202" s="45">
        <f t="shared" si="20"/>
        <v>0.1194660473034224</v>
      </c>
    </row>
    <row r="203" spans="1:22" x14ac:dyDescent="0.2">
      <c r="A203" s="3">
        <v>707450</v>
      </c>
      <c r="B203" s="3" t="s">
        <v>411</v>
      </c>
      <c r="C203" s="1">
        <v>773144</v>
      </c>
      <c r="D203" s="1" t="s">
        <v>163</v>
      </c>
      <c r="E203" s="22">
        <v>1555.23</v>
      </c>
      <c r="F203" s="22">
        <v>1573.54</v>
      </c>
      <c r="G203" s="22">
        <v>1787.13</v>
      </c>
      <c r="H203" s="22">
        <v>1408.14</v>
      </c>
      <c r="I203" s="22"/>
      <c r="J203" s="22"/>
      <c r="K203" s="22"/>
      <c r="L203" s="22">
        <v>665</v>
      </c>
      <c r="M203" s="22"/>
      <c r="N203" s="22"/>
      <c r="O203" s="22"/>
      <c r="P203" s="22"/>
      <c r="Q203" s="22"/>
      <c r="R203" s="22"/>
      <c r="S203" s="22"/>
      <c r="T203" s="22"/>
      <c r="U203" s="16">
        <f t="shared" si="19"/>
        <v>0</v>
      </c>
      <c r="V203" s="45" t="e">
        <f t="shared" si="20"/>
        <v>#DIV/0!</v>
      </c>
    </row>
    <row r="204" spans="1:22" x14ac:dyDescent="0.2">
      <c r="A204" s="72">
        <v>702101</v>
      </c>
      <c r="B204" s="72" t="s">
        <v>477</v>
      </c>
      <c r="C204" s="1"/>
      <c r="D204" s="1"/>
      <c r="E204" s="22"/>
      <c r="F204" s="22"/>
      <c r="G204" s="22"/>
      <c r="H204" s="22"/>
      <c r="I204" s="22"/>
      <c r="J204" s="22"/>
      <c r="K204" s="22"/>
      <c r="L204" s="22"/>
      <c r="M204" s="22"/>
      <c r="N204" s="22"/>
      <c r="O204" s="22"/>
      <c r="P204" s="22"/>
      <c r="Q204" s="22"/>
      <c r="R204" s="22"/>
      <c r="S204" s="22"/>
      <c r="T204" s="41">
        <v>1250</v>
      </c>
      <c r="U204" s="16">
        <f t="shared" si="19"/>
        <v>1250</v>
      </c>
      <c r="V204" s="45" t="e">
        <f t="shared" si="20"/>
        <v>#DIV/0!</v>
      </c>
    </row>
    <row r="205" spans="1:22" x14ac:dyDescent="0.2">
      <c r="A205" s="3">
        <v>702102</v>
      </c>
      <c r="B205" s="3" t="s">
        <v>348</v>
      </c>
      <c r="C205" s="57">
        <v>773155</v>
      </c>
      <c r="D205" s="57" t="s">
        <v>200</v>
      </c>
      <c r="E205" s="22"/>
      <c r="F205" s="22"/>
      <c r="G205" s="22"/>
      <c r="H205" s="22"/>
      <c r="I205" s="22">
        <v>3249</v>
      </c>
      <c r="J205" s="22">
        <v>2024</v>
      </c>
      <c r="K205" s="22">
        <v>5226.88</v>
      </c>
      <c r="L205" s="22"/>
      <c r="M205" s="22"/>
      <c r="N205" s="22"/>
      <c r="O205" s="22"/>
      <c r="P205" s="22"/>
      <c r="Q205" s="22"/>
      <c r="R205" s="22"/>
      <c r="S205" s="22"/>
      <c r="T205" s="22"/>
      <c r="U205" s="16">
        <f t="shared" si="19"/>
        <v>0</v>
      </c>
      <c r="V205" s="45" t="e">
        <f t="shared" si="20"/>
        <v>#DIV/0!</v>
      </c>
    </row>
    <row r="206" spans="1:22" x14ac:dyDescent="0.2">
      <c r="A206" s="3">
        <v>707590</v>
      </c>
      <c r="B206" s="3" t="s">
        <v>415</v>
      </c>
      <c r="C206" s="1">
        <v>774120</v>
      </c>
      <c r="D206" s="1" t="s">
        <v>164</v>
      </c>
      <c r="E206" s="22">
        <v>-4.5474735088646412E-13</v>
      </c>
      <c r="F206" s="22"/>
      <c r="G206" s="22"/>
      <c r="H206" s="22"/>
      <c r="I206" s="22"/>
      <c r="J206" s="22">
        <v>0</v>
      </c>
      <c r="K206" s="22"/>
      <c r="L206" s="22"/>
      <c r="M206" s="22"/>
      <c r="N206" s="22"/>
      <c r="O206" s="22"/>
      <c r="P206" s="22"/>
      <c r="Q206" s="22"/>
      <c r="R206" s="22"/>
      <c r="S206" s="22"/>
      <c r="T206" s="22"/>
      <c r="U206" s="16">
        <f t="shared" si="19"/>
        <v>0</v>
      </c>
      <c r="V206" s="45" t="e">
        <f t="shared" si="20"/>
        <v>#DIV/0!</v>
      </c>
    </row>
    <row r="207" spans="1:22" x14ac:dyDescent="0.2">
      <c r="A207" s="3">
        <v>707506</v>
      </c>
      <c r="B207" s="3" t="s">
        <v>414</v>
      </c>
      <c r="C207" s="57">
        <v>774130</v>
      </c>
      <c r="D207" s="57" t="s">
        <v>202</v>
      </c>
      <c r="E207" s="22"/>
      <c r="F207" s="22">
        <v>5.3100000000000005</v>
      </c>
      <c r="G207" s="22"/>
      <c r="H207" s="22"/>
      <c r="I207" s="22"/>
      <c r="J207" s="22"/>
      <c r="K207" s="22"/>
      <c r="L207" s="22"/>
      <c r="M207" s="22"/>
      <c r="N207" s="22"/>
      <c r="O207" s="22"/>
      <c r="P207" s="22"/>
      <c r="Q207" s="22"/>
      <c r="R207" s="39">
        <v>2440</v>
      </c>
      <c r="S207" s="41">
        <v>5610</v>
      </c>
      <c r="T207" s="41">
        <v>3060</v>
      </c>
      <c r="U207" s="16">
        <f t="shared" si="19"/>
        <v>-2550</v>
      </c>
      <c r="V207" s="45">
        <f t="shared" si="20"/>
        <v>-0.45454545454545453</v>
      </c>
    </row>
    <row r="208" spans="1:22" x14ac:dyDescent="0.2">
      <c r="A208" s="3">
        <v>708025</v>
      </c>
      <c r="B208" s="3" t="s">
        <v>448</v>
      </c>
      <c r="C208" s="1">
        <v>781100</v>
      </c>
      <c r="D208" s="1" t="s">
        <v>165</v>
      </c>
      <c r="E208" s="22">
        <v>-81241.8</v>
      </c>
      <c r="F208" s="22">
        <v>-57217.54</v>
      </c>
      <c r="G208" s="22">
        <v>-24346.94</v>
      </c>
      <c r="H208" s="22">
        <v>-1734.47</v>
      </c>
      <c r="I208" s="22"/>
      <c r="J208" s="22"/>
      <c r="K208" s="22"/>
      <c r="L208" s="22"/>
      <c r="M208" s="22"/>
      <c r="N208" s="22"/>
      <c r="O208" s="22"/>
      <c r="P208" s="22"/>
      <c r="Q208" s="22"/>
      <c r="R208" s="22"/>
      <c r="S208" s="22"/>
      <c r="T208" s="22"/>
      <c r="U208" s="16">
        <f t="shared" si="19"/>
        <v>0</v>
      </c>
      <c r="V208" s="45" t="e">
        <f t="shared" si="20"/>
        <v>#DIV/0!</v>
      </c>
    </row>
    <row r="209" spans="1:22" x14ac:dyDescent="0.2">
      <c r="A209" s="3">
        <v>707450</v>
      </c>
      <c r="B209" s="3" t="s">
        <v>411</v>
      </c>
      <c r="C209" s="1">
        <v>781115</v>
      </c>
      <c r="D209" s="1" t="s">
        <v>316</v>
      </c>
      <c r="E209" s="22"/>
      <c r="F209" s="22"/>
      <c r="G209" s="22"/>
      <c r="H209" s="22"/>
      <c r="I209" s="22"/>
      <c r="J209" s="22"/>
      <c r="K209" s="22"/>
      <c r="L209" s="22"/>
      <c r="M209" s="22"/>
      <c r="N209" s="22"/>
      <c r="O209" s="22"/>
      <c r="P209" s="22"/>
      <c r="Q209" s="42">
        <v>73.22</v>
      </c>
      <c r="R209" s="42"/>
      <c r="S209" s="42"/>
      <c r="T209" s="42"/>
      <c r="U209" s="16">
        <f t="shared" si="19"/>
        <v>0</v>
      </c>
      <c r="V209" s="45" t="e">
        <f t="shared" si="20"/>
        <v>#DIV/0!</v>
      </c>
    </row>
    <row r="210" spans="1:22" x14ac:dyDescent="0.2">
      <c r="A210" s="3">
        <v>708000</v>
      </c>
      <c r="B210" s="3" t="s">
        <v>297</v>
      </c>
      <c r="C210" s="57">
        <v>784101</v>
      </c>
      <c r="D210" s="57" t="s">
        <v>297</v>
      </c>
      <c r="E210" s="22"/>
      <c r="F210" s="22"/>
      <c r="G210" s="22">
        <v>5184</v>
      </c>
      <c r="H210" s="22"/>
      <c r="I210" s="22"/>
      <c r="J210" s="22"/>
      <c r="K210" s="22"/>
      <c r="L210" s="22"/>
      <c r="M210" s="22"/>
      <c r="N210" s="22"/>
      <c r="O210" s="22"/>
      <c r="P210" s="22"/>
      <c r="Q210" s="22"/>
      <c r="R210" s="22"/>
      <c r="S210" s="22"/>
      <c r="T210" s="22"/>
      <c r="U210" s="16">
        <f t="shared" ref="U210:U231" si="21">T210-S210</f>
        <v>0</v>
      </c>
      <c r="V210" s="45" t="e">
        <f t="shared" ref="V210:V232" si="22">U210/S210</f>
        <v>#DIV/0!</v>
      </c>
    </row>
    <row r="211" spans="1:22" x14ac:dyDescent="0.2">
      <c r="A211" s="3">
        <v>708010</v>
      </c>
      <c r="B211" s="3" t="s">
        <v>449</v>
      </c>
      <c r="C211" s="57">
        <v>784102</v>
      </c>
      <c r="D211" s="57" t="s">
        <v>204</v>
      </c>
      <c r="E211" s="22">
        <v>208216.15000000002</v>
      </c>
      <c r="F211" s="22">
        <v>215190.19</v>
      </c>
      <c r="G211" s="22">
        <v>254175.79</v>
      </c>
      <c r="H211" s="22">
        <v>987378.17999999993</v>
      </c>
      <c r="I211" s="22">
        <v>3103770.92</v>
      </c>
      <c r="J211" s="22">
        <v>1894239.5000000002</v>
      </c>
      <c r="K211" s="22">
        <v>1043147.6600000001</v>
      </c>
      <c r="L211" s="22">
        <v>2004634.81</v>
      </c>
      <c r="M211" s="22">
        <v>963574.92</v>
      </c>
      <c r="N211" s="42">
        <v>1116887.29</v>
      </c>
      <c r="O211" s="42">
        <v>209005.64</v>
      </c>
      <c r="P211" s="42">
        <v>78386</v>
      </c>
      <c r="Q211" s="42"/>
      <c r="R211" s="42"/>
      <c r="S211" s="42"/>
      <c r="T211" s="42"/>
      <c r="U211" s="16">
        <f t="shared" si="21"/>
        <v>0</v>
      </c>
      <c r="V211" s="45" t="e">
        <f t="shared" si="22"/>
        <v>#DIV/0!</v>
      </c>
    </row>
    <row r="212" spans="1:22" x14ac:dyDescent="0.2">
      <c r="A212" s="3">
        <v>708020</v>
      </c>
      <c r="B212" s="3" t="s">
        <v>205</v>
      </c>
      <c r="C212" s="57">
        <v>784201</v>
      </c>
      <c r="D212" s="57" t="s">
        <v>205</v>
      </c>
      <c r="E212" s="22">
        <v>170741.75</v>
      </c>
      <c r="F212" s="22">
        <v>34235</v>
      </c>
      <c r="G212" s="22">
        <v>3653</v>
      </c>
      <c r="H212" s="22"/>
      <c r="I212" s="22"/>
      <c r="J212" s="22"/>
      <c r="K212" s="22"/>
      <c r="L212" s="22"/>
      <c r="M212" s="22"/>
      <c r="N212" s="42">
        <v>125643.97</v>
      </c>
      <c r="O212" s="42">
        <v>4557.03</v>
      </c>
      <c r="P212" s="42"/>
      <c r="Q212" s="42"/>
      <c r="R212" s="42"/>
      <c r="S212" s="41">
        <v>6875.97</v>
      </c>
      <c r="T212" s="41"/>
      <c r="U212" s="16">
        <f t="shared" si="21"/>
        <v>-6875.97</v>
      </c>
      <c r="V212" s="45">
        <f t="shared" si="22"/>
        <v>-1</v>
      </c>
    </row>
    <row r="213" spans="1:22" x14ac:dyDescent="0.2">
      <c r="A213" s="3">
        <v>708021</v>
      </c>
      <c r="B213" s="3" t="s">
        <v>417</v>
      </c>
      <c r="C213" s="1">
        <v>784202</v>
      </c>
      <c r="D213" s="1" t="s">
        <v>166</v>
      </c>
      <c r="E213" s="22">
        <v>2925913.95</v>
      </c>
      <c r="F213" s="22">
        <v>940929.43</v>
      </c>
      <c r="G213" s="22">
        <v>1930825.54</v>
      </c>
      <c r="H213" s="22">
        <v>2193656.13</v>
      </c>
      <c r="I213" s="22">
        <v>6769875.0299999993</v>
      </c>
      <c r="J213" s="22">
        <v>5219331.3</v>
      </c>
      <c r="K213" s="22">
        <v>3258385.7399999998</v>
      </c>
      <c r="L213" s="22">
        <v>4063916.34</v>
      </c>
      <c r="M213" s="22">
        <v>1967027.5</v>
      </c>
      <c r="N213" s="42">
        <v>1298123.0899999999</v>
      </c>
      <c r="O213" s="42">
        <v>1048031.03</v>
      </c>
      <c r="P213" s="42">
        <v>2529185.98</v>
      </c>
      <c r="Q213" s="49">
        <v>375104.16000000003</v>
      </c>
      <c r="R213" s="49"/>
      <c r="S213" s="49"/>
      <c r="T213" s="49"/>
      <c r="U213" s="16">
        <f t="shared" si="21"/>
        <v>0</v>
      </c>
      <c r="V213" s="45" t="e">
        <f t="shared" si="22"/>
        <v>#DIV/0!</v>
      </c>
    </row>
    <row r="214" spans="1:22" x14ac:dyDescent="0.2">
      <c r="A214" s="3">
        <v>708023</v>
      </c>
      <c r="B214" s="3" t="s">
        <v>418</v>
      </c>
      <c r="C214" s="1">
        <v>784203</v>
      </c>
      <c r="D214" s="1" t="s">
        <v>167</v>
      </c>
      <c r="E214" s="22">
        <v>302290.16000000003</v>
      </c>
      <c r="F214" s="22">
        <v>23484.38</v>
      </c>
      <c r="G214" s="22">
        <v>49520</v>
      </c>
      <c r="H214" s="22">
        <v>53482.55</v>
      </c>
      <c r="I214" s="22">
        <v>66335</v>
      </c>
      <c r="J214" s="22">
        <v>72944.78</v>
      </c>
      <c r="K214" s="22">
        <v>1194464.1000000001</v>
      </c>
      <c r="L214" s="22">
        <v>1924068.01</v>
      </c>
      <c r="M214" s="22">
        <v>699313.15</v>
      </c>
      <c r="N214" s="42">
        <v>550678.42000000004</v>
      </c>
      <c r="O214" s="42">
        <v>2677303.44</v>
      </c>
      <c r="P214" s="42">
        <v>1152033.17</v>
      </c>
      <c r="Q214" s="49">
        <v>1410505.58</v>
      </c>
      <c r="R214" s="39">
        <v>396100.87</v>
      </c>
      <c r="S214" s="41">
        <v>198988</v>
      </c>
      <c r="T214" s="41">
        <v>1860749.8200000003</v>
      </c>
      <c r="U214" s="16">
        <f t="shared" si="21"/>
        <v>1661761.8200000003</v>
      </c>
      <c r="V214" s="45">
        <f t="shared" si="22"/>
        <v>8.3510654913864162</v>
      </c>
    </row>
    <row r="215" spans="1:22" x14ac:dyDescent="0.2">
      <c r="A215" s="3">
        <v>708061</v>
      </c>
      <c r="B215" s="3" t="s">
        <v>422</v>
      </c>
      <c r="C215" s="1">
        <v>784302</v>
      </c>
      <c r="D215" s="1" t="s">
        <v>168</v>
      </c>
      <c r="E215" s="22">
        <v>33458.5</v>
      </c>
      <c r="F215" s="22">
        <v>21348.78</v>
      </c>
      <c r="G215" s="22">
        <v>2197.2200000000003</v>
      </c>
      <c r="H215" s="22">
        <v>122652.24</v>
      </c>
      <c r="I215" s="22">
        <v>36261.82</v>
      </c>
      <c r="J215" s="22">
        <v>125187.51000000001</v>
      </c>
      <c r="K215" s="22">
        <v>193156.52</v>
      </c>
      <c r="L215" s="22">
        <v>107027.29000000001</v>
      </c>
      <c r="M215" s="22">
        <v>328713.14</v>
      </c>
      <c r="N215" s="42">
        <v>222996.52000000002</v>
      </c>
      <c r="O215" s="42">
        <v>353649.37000000005</v>
      </c>
      <c r="P215" s="42">
        <v>567713.20000000007</v>
      </c>
      <c r="Q215" s="49">
        <v>211718.40000000002</v>
      </c>
      <c r="R215" s="49"/>
      <c r="S215" s="49"/>
      <c r="T215" s="49"/>
      <c r="U215" s="16">
        <f t="shared" si="21"/>
        <v>0</v>
      </c>
      <c r="V215" s="45" t="e">
        <f t="shared" si="22"/>
        <v>#DIV/0!</v>
      </c>
    </row>
    <row r="216" spans="1:22" x14ac:dyDescent="0.2">
      <c r="A216" s="3">
        <v>708063</v>
      </c>
      <c r="B216" s="3" t="s">
        <v>423</v>
      </c>
      <c r="C216" s="1">
        <v>784304</v>
      </c>
      <c r="D216" s="1" t="s">
        <v>169</v>
      </c>
      <c r="E216" s="22">
        <v>90672.62</v>
      </c>
      <c r="F216" s="22">
        <v>23384.129999999997</v>
      </c>
      <c r="G216" s="22">
        <v>3152.79</v>
      </c>
      <c r="H216" s="22">
        <v>23150.660000000003</v>
      </c>
      <c r="I216" s="22">
        <v>415087.13000000006</v>
      </c>
      <c r="J216" s="22">
        <v>104838.20999999999</v>
      </c>
      <c r="K216" s="22">
        <v>111120.72</v>
      </c>
      <c r="L216" s="22">
        <v>67026.05</v>
      </c>
      <c r="M216" s="22">
        <v>1173540.7600000002</v>
      </c>
      <c r="N216" s="42">
        <v>93546.7</v>
      </c>
      <c r="O216" s="42">
        <v>244648.55</v>
      </c>
      <c r="P216" s="42">
        <v>686106.40999999992</v>
      </c>
      <c r="Q216" s="49">
        <v>175586.14</v>
      </c>
      <c r="R216" s="49"/>
      <c r="S216" s="49"/>
      <c r="T216" s="49"/>
      <c r="U216" s="16">
        <f t="shared" si="21"/>
        <v>0</v>
      </c>
      <c r="V216" s="45" t="e">
        <f t="shared" si="22"/>
        <v>#DIV/0!</v>
      </c>
    </row>
    <row r="217" spans="1:22" x14ac:dyDescent="0.2">
      <c r="A217" s="3">
        <v>708070</v>
      </c>
      <c r="B217" s="3" t="s">
        <v>424</v>
      </c>
      <c r="C217" s="57">
        <v>784306</v>
      </c>
      <c r="D217" s="57" t="s">
        <v>208</v>
      </c>
      <c r="E217" s="22">
        <v>41473</v>
      </c>
      <c r="F217" s="22"/>
      <c r="G217" s="22"/>
      <c r="H217" s="22"/>
      <c r="I217" s="22"/>
      <c r="J217" s="22"/>
      <c r="K217" s="22"/>
      <c r="L217" s="22"/>
      <c r="M217" s="22"/>
      <c r="N217" s="22"/>
      <c r="O217" s="22"/>
      <c r="P217" s="22"/>
      <c r="Q217" s="49">
        <v>246533.7</v>
      </c>
      <c r="R217" s="39">
        <v>113360.08</v>
      </c>
      <c r="S217" s="39"/>
      <c r="T217" s="41">
        <v>115450.2</v>
      </c>
      <c r="U217" s="16">
        <f t="shared" si="21"/>
        <v>115450.2</v>
      </c>
      <c r="V217" s="45" t="e">
        <f t="shared" si="22"/>
        <v>#DIV/0!</v>
      </c>
    </row>
    <row r="218" spans="1:22" x14ac:dyDescent="0.2">
      <c r="A218" s="72">
        <v>708080</v>
      </c>
      <c r="B218" s="72" t="s">
        <v>451</v>
      </c>
      <c r="C218" s="72">
        <v>784402</v>
      </c>
      <c r="D218" s="72" t="s">
        <v>261</v>
      </c>
      <c r="E218" s="22"/>
      <c r="F218" s="22"/>
      <c r="G218" s="22"/>
      <c r="H218" s="22"/>
      <c r="I218" s="22"/>
      <c r="J218" s="22"/>
      <c r="K218" s="22"/>
      <c r="L218" s="22"/>
      <c r="M218" s="22"/>
      <c r="N218" s="22"/>
      <c r="O218" s="22"/>
      <c r="P218" s="22"/>
      <c r="Q218" s="49"/>
      <c r="R218" s="39"/>
      <c r="S218" s="41">
        <v>16944.09</v>
      </c>
      <c r="T218" s="41">
        <v>44438.21</v>
      </c>
      <c r="U218" s="16">
        <f t="shared" si="21"/>
        <v>27494.12</v>
      </c>
      <c r="V218" s="45">
        <f t="shared" si="22"/>
        <v>1.6226377456682535</v>
      </c>
    </row>
    <row r="219" spans="1:22" x14ac:dyDescent="0.2">
      <c r="A219" s="3">
        <v>708030</v>
      </c>
      <c r="B219" s="3" t="s">
        <v>419</v>
      </c>
      <c r="C219" s="1">
        <v>784307</v>
      </c>
      <c r="D219" s="1" t="s">
        <v>170</v>
      </c>
      <c r="E219" s="22">
        <v>41000</v>
      </c>
      <c r="F219" s="22"/>
      <c r="G219" s="22">
        <v>42597.020000000004</v>
      </c>
      <c r="H219" s="22">
        <v>960</v>
      </c>
      <c r="I219" s="22">
        <v>14280.45</v>
      </c>
      <c r="J219" s="22"/>
      <c r="K219" s="22"/>
      <c r="L219" s="22">
        <v>10018.64</v>
      </c>
      <c r="M219" s="22">
        <v>1417.5</v>
      </c>
      <c r="N219" s="42">
        <v>20556.07</v>
      </c>
      <c r="O219" s="22"/>
      <c r="P219" s="22"/>
      <c r="Q219" s="22"/>
      <c r="R219" s="22"/>
      <c r="S219" s="22"/>
      <c r="T219" s="22"/>
      <c r="U219" s="16">
        <f t="shared" si="21"/>
        <v>0</v>
      </c>
      <c r="V219" s="45" t="e">
        <f t="shared" si="22"/>
        <v>#DIV/0!</v>
      </c>
    </row>
    <row r="220" spans="1:22" x14ac:dyDescent="0.2">
      <c r="A220" s="3">
        <v>708060</v>
      </c>
      <c r="B220" s="3" t="s">
        <v>421</v>
      </c>
      <c r="C220" s="1">
        <v>784308</v>
      </c>
      <c r="D220" s="1" t="s">
        <v>171</v>
      </c>
      <c r="E220" s="22">
        <v>198143.44</v>
      </c>
      <c r="F220" s="22">
        <v>202476.12</v>
      </c>
      <c r="G220" s="22">
        <v>112429.33</v>
      </c>
      <c r="H220" s="22">
        <v>2235</v>
      </c>
      <c r="I220" s="22">
        <v>99207.33</v>
      </c>
      <c r="J220" s="22">
        <v>525895.24</v>
      </c>
      <c r="K220" s="22">
        <v>120179.19</v>
      </c>
      <c r="L220" s="22">
        <v>208148.82</v>
      </c>
      <c r="M220" s="22">
        <v>423864.80999999994</v>
      </c>
      <c r="N220" s="42">
        <v>608810.81000000006</v>
      </c>
      <c r="O220" s="42">
        <v>656371.94999999995</v>
      </c>
      <c r="P220" s="42">
        <v>136465.71</v>
      </c>
      <c r="Q220" s="49">
        <v>342240.35000000003</v>
      </c>
      <c r="R220" s="39">
        <v>3902361.0600000005</v>
      </c>
      <c r="S220" s="41">
        <v>1294184.3099999998</v>
      </c>
      <c r="T220" s="41">
        <v>725934.26</v>
      </c>
      <c r="U220" s="16">
        <f t="shared" si="21"/>
        <v>-568250.04999999981</v>
      </c>
      <c r="V220" s="45">
        <f t="shared" si="22"/>
        <v>-0.43907969337072233</v>
      </c>
    </row>
    <row r="221" spans="1:22" x14ac:dyDescent="0.2">
      <c r="A221" s="3">
        <v>708060</v>
      </c>
      <c r="B221" s="3" t="s">
        <v>421</v>
      </c>
      <c r="C221" s="57">
        <v>784309</v>
      </c>
      <c r="D221" s="57" t="s">
        <v>209</v>
      </c>
      <c r="E221" s="22"/>
      <c r="F221" s="22"/>
      <c r="G221" s="22"/>
      <c r="H221" s="22"/>
      <c r="I221" s="22"/>
      <c r="J221" s="22"/>
      <c r="K221" s="22">
        <v>23175.75</v>
      </c>
      <c r="L221" s="22">
        <v>4341.99</v>
      </c>
      <c r="M221" s="22">
        <v>65929.31</v>
      </c>
      <c r="N221" s="43"/>
      <c r="O221" s="42">
        <v>152743.58000000002</v>
      </c>
      <c r="P221" s="42">
        <v>357186.1</v>
      </c>
      <c r="Q221" s="49">
        <v>83445.38</v>
      </c>
      <c r="R221" s="49"/>
      <c r="S221" s="49"/>
      <c r="T221" s="49"/>
      <c r="U221" s="16">
        <f t="shared" si="21"/>
        <v>0</v>
      </c>
      <c r="V221" s="45" t="e">
        <f t="shared" si="22"/>
        <v>#DIV/0!</v>
      </c>
    </row>
    <row r="222" spans="1:22" x14ac:dyDescent="0.2">
      <c r="A222" s="3">
        <v>708040</v>
      </c>
      <c r="B222" s="3" t="s">
        <v>420</v>
      </c>
      <c r="C222" s="1">
        <v>784401</v>
      </c>
      <c r="D222" s="1" t="s">
        <v>172</v>
      </c>
      <c r="E222" s="22"/>
      <c r="F222" s="22">
        <v>4982</v>
      </c>
      <c r="G222" s="22">
        <v>18170.21</v>
      </c>
      <c r="H222" s="22">
        <v>6812.99</v>
      </c>
      <c r="I222" s="22">
        <v>57887.29</v>
      </c>
      <c r="J222" s="22">
        <v>11505.95</v>
      </c>
      <c r="K222" s="22">
        <v>21386.78</v>
      </c>
      <c r="L222" s="22">
        <v>438669.24</v>
      </c>
      <c r="M222" s="22">
        <v>194763.46</v>
      </c>
      <c r="N222" s="42">
        <v>679192.49</v>
      </c>
      <c r="O222" s="42">
        <v>109558.08</v>
      </c>
      <c r="P222" s="42">
        <v>209746.37000000002</v>
      </c>
      <c r="Q222" s="49">
        <v>1309497.1400000001</v>
      </c>
      <c r="R222" s="39">
        <v>429644.97</v>
      </c>
      <c r="S222" s="41">
        <v>268316.2</v>
      </c>
      <c r="T222" s="41">
        <v>243249.36000000002</v>
      </c>
      <c r="U222" s="16">
        <f t="shared" si="21"/>
        <v>-25066.839999999997</v>
      </c>
      <c r="V222" s="45">
        <f t="shared" si="22"/>
        <v>-9.3422760161332025E-2</v>
      </c>
    </row>
    <row r="223" spans="1:22" x14ac:dyDescent="0.2">
      <c r="A223" s="3">
        <v>708060</v>
      </c>
      <c r="B223" s="3" t="s">
        <v>421</v>
      </c>
      <c r="C223" s="1">
        <v>784501</v>
      </c>
      <c r="D223" s="1" t="s">
        <v>173</v>
      </c>
      <c r="E223" s="22"/>
      <c r="F223" s="22">
        <v>75734</v>
      </c>
      <c r="G223" s="22">
        <v>4763.9800000000005</v>
      </c>
      <c r="H223" s="22">
        <v>1040.33</v>
      </c>
      <c r="I223" s="22">
        <v>12560.3</v>
      </c>
      <c r="J223" s="22">
        <v>6945.2</v>
      </c>
      <c r="K223" s="22">
        <v>5400.33</v>
      </c>
      <c r="L223" s="22">
        <v>72091.67</v>
      </c>
      <c r="M223" s="22">
        <v>714923.22</v>
      </c>
      <c r="N223" s="42">
        <v>17816</v>
      </c>
      <c r="O223" s="42">
        <v>118197.77</v>
      </c>
      <c r="P223" s="42">
        <v>524260.62</v>
      </c>
      <c r="Q223" s="49">
        <v>19929.23</v>
      </c>
      <c r="R223" s="49"/>
      <c r="S223" s="49"/>
      <c r="T223" s="49"/>
      <c r="U223" s="16">
        <f t="shared" si="21"/>
        <v>0</v>
      </c>
      <c r="V223" s="45" t="e">
        <f t="shared" si="22"/>
        <v>#DIV/0!</v>
      </c>
    </row>
    <row r="224" spans="1:22" x14ac:dyDescent="0.2">
      <c r="A224" s="3">
        <v>708040</v>
      </c>
      <c r="B224" s="3" t="s">
        <v>420</v>
      </c>
      <c r="C224" s="57">
        <v>784601</v>
      </c>
      <c r="D224" s="57" t="s">
        <v>292</v>
      </c>
      <c r="E224" s="22"/>
      <c r="F224" s="22"/>
      <c r="G224" s="22"/>
      <c r="H224" s="22"/>
      <c r="I224" s="22"/>
      <c r="J224" s="22">
        <v>11659.6</v>
      </c>
      <c r="K224" s="22">
        <v>13385.1</v>
      </c>
      <c r="L224" s="22"/>
      <c r="M224" s="22">
        <v>322950.40000000002</v>
      </c>
      <c r="N224" s="42">
        <v>8863.34</v>
      </c>
      <c r="O224" s="22"/>
      <c r="P224" s="22"/>
      <c r="Q224" s="22"/>
      <c r="R224" s="22"/>
      <c r="S224" s="22"/>
      <c r="T224" s="22"/>
      <c r="U224" s="16">
        <f t="shared" si="21"/>
        <v>0</v>
      </c>
      <c r="V224" s="45" t="e">
        <f t="shared" si="22"/>
        <v>#DIV/0!</v>
      </c>
    </row>
    <row r="225" spans="1:23" x14ac:dyDescent="0.2">
      <c r="A225" s="3">
        <v>708040</v>
      </c>
      <c r="B225" s="3" t="s">
        <v>420</v>
      </c>
      <c r="C225" s="57">
        <v>784602</v>
      </c>
      <c r="D225" s="57" t="s">
        <v>298</v>
      </c>
      <c r="E225" s="22"/>
      <c r="F225" s="22"/>
      <c r="G225" s="22"/>
      <c r="H225" s="22"/>
      <c r="I225" s="22"/>
      <c r="J225" s="22">
        <v>5749.74</v>
      </c>
      <c r="K225" s="22"/>
      <c r="L225" s="22"/>
      <c r="M225" s="22"/>
      <c r="N225" s="22"/>
      <c r="O225" s="22"/>
      <c r="P225" s="22"/>
      <c r="Q225" s="22"/>
      <c r="R225" s="22"/>
      <c r="S225" s="22"/>
      <c r="T225" s="22"/>
      <c r="U225" s="16">
        <f t="shared" si="21"/>
        <v>0</v>
      </c>
      <c r="V225" s="45" t="e">
        <f t="shared" si="22"/>
        <v>#DIV/0!</v>
      </c>
    </row>
    <row r="226" spans="1:23" x14ac:dyDescent="0.2">
      <c r="A226" s="3">
        <v>708024</v>
      </c>
      <c r="B226" s="3" t="s">
        <v>452</v>
      </c>
      <c r="C226" s="1">
        <v>784603</v>
      </c>
      <c r="D226" s="1" t="s">
        <v>293</v>
      </c>
      <c r="E226" s="22"/>
      <c r="F226" s="22"/>
      <c r="G226" s="22"/>
      <c r="H226" s="22"/>
      <c r="I226" s="22"/>
      <c r="J226" s="22"/>
      <c r="K226" s="22"/>
      <c r="L226" s="22"/>
      <c r="M226" s="22"/>
      <c r="N226" s="22"/>
      <c r="O226" s="22"/>
      <c r="P226" s="22"/>
      <c r="Q226" s="42">
        <v>445042.52</v>
      </c>
      <c r="R226" s="42"/>
      <c r="S226" s="42"/>
      <c r="T226" s="42"/>
      <c r="U226" s="16">
        <f t="shared" si="21"/>
        <v>0</v>
      </c>
      <c r="V226" s="45" t="e">
        <f t="shared" si="22"/>
        <v>#DIV/0!</v>
      </c>
    </row>
    <row r="227" spans="1:23" x14ac:dyDescent="0.2">
      <c r="A227" s="3">
        <v>708021</v>
      </c>
      <c r="B227" s="3" t="s">
        <v>417</v>
      </c>
      <c r="C227" s="1">
        <v>784604</v>
      </c>
      <c r="D227" s="1" t="s">
        <v>174</v>
      </c>
      <c r="E227" s="22"/>
      <c r="F227" s="22"/>
      <c r="G227" s="22"/>
      <c r="H227" s="22"/>
      <c r="I227" s="22"/>
      <c r="J227" s="22"/>
      <c r="K227" s="22"/>
      <c r="L227" s="22">
        <v>126972.28</v>
      </c>
      <c r="M227" s="22">
        <v>18952.18</v>
      </c>
      <c r="N227" s="42">
        <v>8889.7900000000009</v>
      </c>
      <c r="O227" s="42">
        <v>1478527.85</v>
      </c>
      <c r="P227" s="42">
        <v>851498.26</v>
      </c>
      <c r="Q227" s="49">
        <v>394481.65</v>
      </c>
      <c r="R227" s="39">
        <v>1371002.06</v>
      </c>
      <c r="S227" s="41">
        <v>359295.75</v>
      </c>
      <c r="T227" s="41">
        <v>768715.58000000007</v>
      </c>
      <c r="U227" s="16">
        <f t="shared" si="21"/>
        <v>409419.83000000007</v>
      </c>
      <c r="V227" s="45">
        <f t="shared" si="22"/>
        <v>1.1395064650778644</v>
      </c>
    </row>
    <row r="228" spans="1:23" x14ac:dyDescent="0.2">
      <c r="A228" s="3">
        <v>713000</v>
      </c>
      <c r="B228" s="3" t="s">
        <v>453</v>
      </c>
      <c r="C228" s="57">
        <v>785000</v>
      </c>
      <c r="D228" s="57" t="s">
        <v>299</v>
      </c>
      <c r="E228" s="22"/>
      <c r="F228" s="22">
        <v>1511350.52</v>
      </c>
      <c r="G228" s="22">
        <v>1216229.8400000001</v>
      </c>
      <c r="H228" s="22">
        <v>235942.68</v>
      </c>
      <c r="I228" s="22">
        <v>1182305.23</v>
      </c>
      <c r="J228" s="22">
        <v>236743.38</v>
      </c>
      <c r="K228" s="22">
        <v>340482.19</v>
      </c>
      <c r="L228" s="22">
        <v>323165.33</v>
      </c>
      <c r="M228" s="22">
        <v>214632.26</v>
      </c>
      <c r="N228" s="42">
        <v>50902.26</v>
      </c>
      <c r="O228" s="42">
        <v>111654.58</v>
      </c>
      <c r="P228" s="42">
        <v>160206.65</v>
      </c>
      <c r="Q228" s="49">
        <v>4579285.34</v>
      </c>
      <c r="R228" s="39">
        <v>1135723.8</v>
      </c>
      <c r="S228" s="41">
        <v>315451.52000000002</v>
      </c>
      <c r="T228" s="41">
        <v>169442.43</v>
      </c>
      <c r="U228" s="16">
        <f t="shared" si="21"/>
        <v>-146009.09000000003</v>
      </c>
      <c r="V228" s="45">
        <f t="shared" si="22"/>
        <v>-0.4628574622179662</v>
      </c>
    </row>
    <row r="229" spans="1:23" x14ac:dyDescent="0.2">
      <c r="A229" s="3">
        <v>802000</v>
      </c>
      <c r="B229" s="3" t="s">
        <v>469</v>
      </c>
      <c r="C229" s="1">
        <v>821100</v>
      </c>
      <c r="D229" s="1" t="s">
        <v>470</v>
      </c>
      <c r="E229" s="22"/>
      <c r="F229" s="22"/>
      <c r="G229" s="22"/>
      <c r="H229" s="22"/>
      <c r="I229" s="22"/>
      <c r="J229" s="22"/>
      <c r="K229" s="22"/>
      <c r="L229" s="22"/>
      <c r="M229" s="22"/>
      <c r="N229" s="22"/>
      <c r="O229" s="22"/>
      <c r="P229" s="22"/>
      <c r="Q229" s="22"/>
      <c r="R229" s="22">
        <v>7282291.0599999996</v>
      </c>
      <c r="S229" s="22">
        <v>9079423.9900000002</v>
      </c>
      <c r="T229" s="22">
        <v>7473391.5</v>
      </c>
      <c r="U229" s="16">
        <f t="shared" si="21"/>
        <v>-1606032.4900000002</v>
      </c>
      <c r="V229" s="45">
        <f t="shared" si="22"/>
        <v>-0.17688704611315328</v>
      </c>
      <c r="W229" s="74" t="s">
        <v>472</v>
      </c>
    </row>
    <row r="230" spans="1:23" x14ac:dyDescent="0.2">
      <c r="A230" s="3">
        <v>901000</v>
      </c>
      <c r="B230" s="3" t="s">
        <v>458</v>
      </c>
      <c r="C230" s="57">
        <v>912000</v>
      </c>
      <c r="D230" s="57" t="s">
        <v>300</v>
      </c>
      <c r="E230" s="22"/>
      <c r="F230" s="22"/>
      <c r="G230" s="22"/>
      <c r="H230" s="22"/>
      <c r="I230" s="22">
        <v>-12361333.02</v>
      </c>
      <c r="J230" s="22">
        <v>-7805634.0599999996</v>
      </c>
      <c r="K230" s="22">
        <v>-10367129.25</v>
      </c>
      <c r="L230" s="22">
        <v>-13168179.85</v>
      </c>
      <c r="M230" s="22">
        <v>-10472823.359999999</v>
      </c>
      <c r="N230" s="22">
        <v>-7259636.3499999996</v>
      </c>
      <c r="O230" s="22">
        <v>-5353592.95</v>
      </c>
      <c r="P230" s="22">
        <v>-6170820.0599999996</v>
      </c>
      <c r="Q230" s="22">
        <v>-2204160.14</v>
      </c>
      <c r="R230" s="22">
        <v>-4541906.41</v>
      </c>
      <c r="S230" s="22">
        <v>-1778587.47</v>
      </c>
      <c r="T230" s="22">
        <v>-3340802.31</v>
      </c>
      <c r="U230" s="16">
        <f t="shared" si="21"/>
        <v>-1562214.84</v>
      </c>
      <c r="V230" s="45">
        <f t="shared" si="22"/>
        <v>0.87834580325700828</v>
      </c>
    </row>
    <row r="231" spans="1:23" x14ac:dyDescent="0.2">
      <c r="C231" s="3" t="s">
        <v>234</v>
      </c>
      <c r="D231" s="3" t="s">
        <v>235</v>
      </c>
      <c r="E231" s="2"/>
      <c r="F231" s="2"/>
      <c r="G231" s="2"/>
      <c r="H231" s="2"/>
      <c r="I231" s="2">
        <v>887619.11</v>
      </c>
      <c r="J231" s="2">
        <v>1214072.57</v>
      </c>
      <c r="K231" s="2">
        <v>1324078.03</v>
      </c>
      <c r="L231" s="2">
        <v>2351679.58</v>
      </c>
      <c r="M231" s="2">
        <v>285082.48</v>
      </c>
      <c r="N231" s="2">
        <v>370038.84</v>
      </c>
      <c r="O231" s="2">
        <v>374379.87</v>
      </c>
      <c r="P231" s="2"/>
      <c r="Q231" s="2"/>
      <c r="R231" s="2"/>
      <c r="S231" s="2"/>
      <c r="T231" s="2"/>
      <c r="U231" s="16">
        <f t="shared" si="21"/>
        <v>0</v>
      </c>
      <c r="V231" s="45" t="e">
        <f t="shared" si="22"/>
        <v>#DIV/0!</v>
      </c>
    </row>
    <row r="232" spans="1:23" x14ac:dyDescent="0.2">
      <c r="D232" s="5" t="s">
        <v>233</v>
      </c>
      <c r="E232" s="11">
        <f t="shared" ref="E232:U232" si="23">SUM(E82:E231)</f>
        <v>18031207.760000002</v>
      </c>
      <c r="F232" s="11">
        <f t="shared" si="23"/>
        <v>18123035.999999996</v>
      </c>
      <c r="G232" s="11">
        <f t="shared" si="23"/>
        <v>18202621.159999996</v>
      </c>
      <c r="H232" s="11">
        <f t="shared" si="23"/>
        <v>19101334.909999993</v>
      </c>
      <c r="I232" s="11">
        <f t="shared" si="23"/>
        <v>14443780.740000006</v>
      </c>
      <c r="J232" s="11">
        <f t="shared" si="23"/>
        <v>15760385.350000005</v>
      </c>
      <c r="K232" s="11">
        <f t="shared" si="23"/>
        <v>10827387.140000002</v>
      </c>
      <c r="L232" s="11">
        <f t="shared" si="23"/>
        <v>12305757.530000005</v>
      </c>
      <c r="M232" s="11">
        <f t="shared" si="23"/>
        <v>12078393.650000006</v>
      </c>
      <c r="N232" s="11">
        <f t="shared" si="23"/>
        <v>13174991.740000008</v>
      </c>
      <c r="O232" s="11">
        <f t="shared" si="23"/>
        <v>17946280.199999999</v>
      </c>
      <c r="P232" s="11">
        <f t="shared" si="23"/>
        <v>19229152.900000006</v>
      </c>
      <c r="Q232" s="11">
        <f t="shared" si="23"/>
        <v>24808324.599999998</v>
      </c>
      <c r="R232" s="11">
        <f t="shared" si="23"/>
        <v>31160142.66</v>
      </c>
      <c r="S232" s="11">
        <f t="shared" si="23"/>
        <v>27686711.180000007</v>
      </c>
      <c r="T232" s="11">
        <f t="shared" si="23"/>
        <v>27415312.709999997</v>
      </c>
      <c r="U232" s="20">
        <f t="shared" si="23"/>
        <v>-271398.46999999811</v>
      </c>
      <c r="V232" s="45">
        <f t="shared" si="22"/>
        <v>-9.8024813505494177E-3</v>
      </c>
    </row>
    <row r="233" spans="1:23" x14ac:dyDescent="0.2"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S233" s="4"/>
      <c r="T233" s="4"/>
      <c r="U233" s="16"/>
      <c r="V233" s="45"/>
    </row>
    <row r="234" spans="1:23" x14ac:dyDescent="0.2">
      <c r="C234" s="3" t="s">
        <v>218</v>
      </c>
      <c r="E234" s="4"/>
      <c r="F234" s="4"/>
      <c r="G234" s="4"/>
      <c r="H234" s="4"/>
      <c r="I234" s="4">
        <v>-22302596.629999999</v>
      </c>
      <c r="J234" s="4">
        <v>-24241281.98</v>
      </c>
      <c r="K234" s="4">
        <v>-19328792.039999999</v>
      </c>
      <c r="L234" s="4">
        <v>-21251269.289999999</v>
      </c>
      <c r="M234" s="4">
        <v>-21376024.859999999</v>
      </c>
      <c r="N234" s="4">
        <f t="shared" ref="N234:T234" si="24">N11</f>
        <v>-22656272.57</v>
      </c>
      <c r="O234" s="4">
        <f t="shared" si="24"/>
        <v>-28214349.030000001</v>
      </c>
      <c r="P234" s="4">
        <f t="shared" si="24"/>
        <v>-29079032.099999998</v>
      </c>
      <c r="Q234" s="4">
        <f t="shared" si="24"/>
        <v>-34383494.960000001</v>
      </c>
      <c r="R234" s="4">
        <f t="shared" si="24"/>
        <v>-49093036.870000005</v>
      </c>
      <c r="S234" s="4">
        <f t="shared" si="24"/>
        <v>-47121903.07</v>
      </c>
      <c r="T234" s="4">
        <f t="shared" si="24"/>
        <v>-46619087.620000005</v>
      </c>
      <c r="U234" s="16">
        <f t="shared" ref="U234" si="25">T234-S234</f>
        <v>502815.44999999553</v>
      </c>
      <c r="V234" s="45">
        <f t="shared" ref="V234" si="26">U234/S234</f>
        <v>-1.0670525111285484E-2</v>
      </c>
    </row>
    <row r="235" spans="1:23" x14ac:dyDescent="0.2"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S235" s="4"/>
      <c r="T235" s="4"/>
      <c r="U235" s="16"/>
      <c r="V235" s="45"/>
    </row>
    <row r="236" spans="1:23" x14ac:dyDescent="0.2">
      <c r="C236" s="3" t="s">
        <v>219</v>
      </c>
      <c r="E236" s="4"/>
      <c r="F236" s="4"/>
      <c r="G236" s="4"/>
      <c r="H236" s="4"/>
      <c r="I236" s="4">
        <v>0</v>
      </c>
      <c r="J236" s="4">
        <v>0</v>
      </c>
      <c r="K236" s="4">
        <v>0</v>
      </c>
      <c r="L236" s="4">
        <v>0</v>
      </c>
      <c r="M236" s="4">
        <v>0</v>
      </c>
      <c r="N236" s="4">
        <f t="shared" ref="N236:T236" si="27">N12</f>
        <v>0</v>
      </c>
      <c r="O236" s="4">
        <f t="shared" si="27"/>
        <v>0</v>
      </c>
      <c r="P236" s="4">
        <f t="shared" si="27"/>
        <v>0</v>
      </c>
      <c r="Q236" s="4">
        <f t="shared" si="27"/>
        <v>0</v>
      </c>
      <c r="R236" s="4">
        <f t="shared" si="27"/>
        <v>0</v>
      </c>
      <c r="S236" s="4">
        <f t="shared" si="27"/>
        <v>0</v>
      </c>
      <c r="T236" s="4">
        <f t="shared" si="27"/>
        <v>0</v>
      </c>
      <c r="U236" s="16">
        <f t="shared" ref="U236" si="28">T236-S236</f>
        <v>0</v>
      </c>
      <c r="V236" s="45" t="e">
        <f t="shared" ref="V236" si="29">U236/S236</f>
        <v>#DIV/0!</v>
      </c>
    </row>
    <row r="237" spans="1:23" x14ac:dyDescent="0.2"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S237" s="4"/>
      <c r="T237" s="4"/>
      <c r="U237" s="16"/>
      <c r="V237" s="45"/>
    </row>
    <row r="238" spans="1:23" ht="13.5" thickBot="1" x14ac:dyDescent="0.25">
      <c r="D238" s="14" t="s">
        <v>2</v>
      </c>
      <c r="E238" s="10">
        <f t="shared" ref="E238:U238" si="30">E81+E232+SUM(E233:E237)</f>
        <v>25467052.380000003</v>
      </c>
      <c r="F238" s="10">
        <f t="shared" si="30"/>
        <v>25802192.069999997</v>
      </c>
      <c r="G238" s="10">
        <f t="shared" si="30"/>
        <v>26487738.439999998</v>
      </c>
      <c r="H238" s="10">
        <f t="shared" si="30"/>
        <v>28081361.919999994</v>
      </c>
      <c r="I238" s="10">
        <f t="shared" si="30"/>
        <v>0</v>
      </c>
      <c r="J238" s="10">
        <f t="shared" si="30"/>
        <v>0</v>
      </c>
      <c r="K238" s="10">
        <f t="shared" si="30"/>
        <v>0</v>
      </c>
      <c r="L238" s="10">
        <f t="shared" si="30"/>
        <v>0</v>
      </c>
      <c r="M238" s="10">
        <f t="shared" si="30"/>
        <v>0</v>
      </c>
      <c r="N238" s="10">
        <f t="shared" si="30"/>
        <v>0</v>
      </c>
      <c r="O238" s="10">
        <f t="shared" si="30"/>
        <v>0</v>
      </c>
      <c r="P238" s="10">
        <f t="shared" si="30"/>
        <v>0</v>
      </c>
      <c r="Q238" s="10">
        <f t="shared" si="30"/>
        <v>0</v>
      </c>
      <c r="R238" s="10">
        <f t="shared" si="30"/>
        <v>0</v>
      </c>
      <c r="S238" s="10">
        <f t="shared" si="30"/>
        <v>0</v>
      </c>
      <c r="T238" s="10">
        <f t="shared" ref="T238" si="31">T81+T232+SUM(T233:T237)</f>
        <v>0</v>
      </c>
      <c r="U238" s="21">
        <f t="shared" si="30"/>
        <v>-2.9103830456733704E-9</v>
      </c>
      <c r="V238" s="45" t="e">
        <f t="shared" ref="V238" si="32">U238/S238</f>
        <v>#DIV/0!</v>
      </c>
    </row>
    <row r="239" spans="1:23" ht="13.5" thickTop="1" x14ac:dyDescent="0.2"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S239" s="4"/>
      <c r="T239" s="4"/>
    </row>
    <row r="240" spans="1:23" x14ac:dyDescent="0.2">
      <c r="C240" s="3" t="s">
        <v>220</v>
      </c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S240" s="4"/>
      <c r="T240" s="4"/>
    </row>
    <row r="241" spans="3:20" x14ac:dyDescent="0.2">
      <c r="C241" s="3" t="s">
        <v>221</v>
      </c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S241" s="4"/>
      <c r="T241" s="4"/>
    </row>
    <row r="242" spans="3:20" x14ac:dyDescent="0.2"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S242" s="4"/>
      <c r="T242" s="4"/>
    </row>
    <row r="243" spans="3:20" x14ac:dyDescent="0.2"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S243" s="4"/>
      <c r="T243" s="4"/>
    </row>
    <row r="244" spans="3:20" x14ac:dyDescent="0.2">
      <c r="C244" s="12" t="s">
        <v>482</v>
      </c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S244" s="4"/>
      <c r="T244" s="4"/>
    </row>
  </sheetData>
  <phoneticPr fontId="10" type="noConversion"/>
  <pageMargins left="0" right="0" top="0" bottom="0.5" header="0" footer="0"/>
  <pageSetup paperSize="5" scale="89" fitToHeight="20" orientation="landscape" r:id="rId1"/>
  <headerFooter>
    <oddFooter>&amp;R&amp;8Page &amp;P of 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F87E5DA26B159469E5DEDDD8D637077" ma:contentTypeVersion="13" ma:contentTypeDescription="Create a new document." ma:contentTypeScope="" ma:versionID="575d6371e7b78db6ac3d11dac2763eb4">
  <xsd:schema xmlns:xsd="http://www.w3.org/2001/XMLSchema" xmlns:xs="http://www.w3.org/2001/XMLSchema" xmlns:p="http://schemas.microsoft.com/office/2006/metadata/properties" xmlns:ns1="http://schemas.microsoft.com/sharepoint/v3" xmlns:ns2="fce1a9b3-876c-481d-9ebf-ee1ba0063a5f" xmlns:ns3="13157ccd-cfd1-435b-b54a-77ed15165e25" targetNamespace="http://schemas.microsoft.com/office/2006/metadata/properties" ma:root="true" ma:fieldsID="87a6eac9947739bf3c95062c16570ea3" ns1:_="" ns2:_="" ns3:_="">
    <xsd:import namespace="http://schemas.microsoft.com/sharepoint/v3"/>
    <xsd:import namespace="fce1a9b3-876c-481d-9ebf-ee1ba0063a5f"/>
    <xsd:import namespace="13157ccd-cfd1-435b-b54a-77ed15165e25"/>
    <xsd:element name="properties">
      <xsd:complexType>
        <xsd:sequence>
          <xsd:element name="documentManagement">
            <xsd:complexType>
              <xsd:all>
                <xsd:element ref="ns1:_ip_UnifiedCompliancePolicyProperties" minOccurs="0"/>
                <xsd:element ref="ns1:_ip_UnifiedCompliancePolicyUIAction" minOccurs="0"/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8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9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e1a9b3-876c-481d-9ebf-ee1ba0063a5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3157ccd-cfd1-435b-b54a-77ed15165e25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57E6E12C-FFFA-4881-8E2F-5FFF04EA051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fce1a9b3-876c-481d-9ebf-ee1ba0063a5f"/>
    <ds:schemaRef ds:uri="13157ccd-cfd1-435b-b54a-77ed15165e2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F667079C-11AF-4E76-8E9C-3EB53D5CEA4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57BE698-28EF-44C6-84E3-FA312F924ECF}">
  <ds:schemaRefs>
    <ds:schemaRef ds:uri="http://purl.org/dc/terms/"/>
    <ds:schemaRef ds:uri="fce1a9b3-876c-481d-9ebf-ee1ba0063a5f"/>
    <ds:schemaRef ds:uri="http://www.w3.org/XML/1998/namespace"/>
    <ds:schemaRef ds:uri="http://schemas.microsoft.com/office/2006/metadata/properties"/>
    <ds:schemaRef ds:uri="http://schemas.openxmlformats.org/package/2006/metadata/core-properties"/>
    <ds:schemaRef ds:uri="13157ccd-cfd1-435b-b54a-77ed15165e25"/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sharepoint/v3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12</vt:i4>
      </vt:variant>
      <vt:variant>
        <vt:lpstr>Charts</vt:lpstr>
      </vt:variant>
      <vt:variant>
        <vt:i4>2</vt:i4>
      </vt:variant>
      <vt:variant>
        <vt:lpstr>Named Ranges</vt:lpstr>
      </vt:variant>
      <vt:variant>
        <vt:i4>20</vt:i4>
      </vt:variant>
    </vt:vector>
  </HeadingPairs>
  <TitlesOfParts>
    <vt:vector size="34" baseType="lpstr">
      <vt:lpstr>Summary FY 2010 - FY 2021</vt:lpstr>
      <vt:lpstr>FY10 and FY21 Pie Chart</vt:lpstr>
      <vt:lpstr>Instructional (1.0)</vt:lpstr>
      <vt:lpstr>Research (2.0)</vt:lpstr>
      <vt:lpstr>Public Service (3.0)</vt:lpstr>
      <vt:lpstr>Academic Support (4.0)</vt:lpstr>
      <vt:lpstr>Student Services (5.0)</vt:lpstr>
      <vt:lpstr>Institutional Support (6.0)</vt:lpstr>
      <vt:lpstr>Oper. &amp; Maint. of Plant (7.0)</vt:lpstr>
      <vt:lpstr>Depreciation (7.7)</vt:lpstr>
      <vt:lpstr>Scholarships (8.0)</vt:lpstr>
      <vt:lpstr>Auxiliary Enterprises (9.0)</vt:lpstr>
      <vt:lpstr>Program Line Chart</vt:lpstr>
      <vt:lpstr>Category Line Chart</vt:lpstr>
      <vt:lpstr>'Academic Support (4.0)'!Print_Area</vt:lpstr>
      <vt:lpstr>'Auxiliary Enterprises (9.0)'!Print_Area</vt:lpstr>
      <vt:lpstr>'Depreciation (7.7)'!Print_Area</vt:lpstr>
      <vt:lpstr>'Institutional Support (6.0)'!Print_Area</vt:lpstr>
      <vt:lpstr>'Instructional (1.0)'!Print_Area</vt:lpstr>
      <vt:lpstr>'Oper. &amp; Maint. of Plant (7.0)'!Print_Area</vt:lpstr>
      <vt:lpstr>'Public Service (3.0)'!Print_Area</vt:lpstr>
      <vt:lpstr>'Research (2.0)'!Print_Area</vt:lpstr>
      <vt:lpstr>'Scholarships (8.0)'!Print_Area</vt:lpstr>
      <vt:lpstr>'Student Services (5.0)'!Print_Area</vt:lpstr>
      <vt:lpstr>'Academic Support (4.0)'!Print_Titles</vt:lpstr>
      <vt:lpstr>'Auxiliary Enterprises (9.0)'!Print_Titles</vt:lpstr>
      <vt:lpstr>'Depreciation (7.7)'!Print_Titles</vt:lpstr>
      <vt:lpstr>'Institutional Support (6.0)'!Print_Titles</vt:lpstr>
      <vt:lpstr>'Instructional (1.0)'!Print_Titles</vt:lpstr>
      <vt:lpstr>'Oper. &amp; Maint. of Plant (7.0)'!Print_Titles</vt:lpstr>
      <vt:lpstr>'Public Service (3.0)'!Print_Titles</vt:lpstr>
      <vt:lpstr>'Research (2.0)'!Print_Titles</vt:lpstr>
      <vt:lpstr>'Scholarships (8.0)'!Print_Titles</vt:lpstr>
      <vt:lpstr>'Student Services (5.0)'!Print_Titles</vt:lpstr>
    </vt:vector>
  </TitlesOfParts>
  <Company>Central Connecticut State University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BPW</dc:creator>
  <cp:lastModifiedBy>Vanderoef, Brian (Accounting)</cp:lastModifiedBy>
  <cp:lastPrinted>2019-04-16T17:49:09Z</cp:lastPrinted>
  <dcterms:created xsi:type="dcterms:W3CDTF">2015-01-12T14:32:21Z</dcterms:created>
  <dcterms:modified xsi:type="dcterms:W3CDTF">2023-01-13T12:38:49Z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0x0101009F87E5DA26B159469E5DEDDD8D637077</vt:lpwstr>
  </property>
  <property fmtid="{D5CDD505-2E9C-101B-9397-08002B2CF9AE}" pid="3" name="Order">
    <vt:r8>4319600</vt:r8>
  </property>
</Properties>
</file>