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3040" windowHeight="9030" tabRatio="966" activeTab="2"/>
  </bookViews>
  <sheets>
    <sheet name="Instructions" sheetId="40" r:id="rId1"/>
    <sheet name="Narrative" sheetId="2" r:id="rId2"/>
    <sheet name="MGMT Feedback" sheetId="35" r:id="rId3"/>
    <sheet name="Athletics Data and Benchmarks" sheetId="25" r:id="rId4"/>
    <sheet name="Athletics Summary by Index" sheetId="41" r:id="rId5"/>
    <sheet name="ATHL40" sheetId="39" r:id="rId6"/>
    <sheet name="ATHL42" sheetId="43" r:id="rId7"/>
    <sheet name="ATHL43" sheetId="44" r:id="rId8"/>
    <sheet name="ATHL44" sheetId="45" r:id="rId9"/>
    <sheet name="ATHL45" sheetId="46" r:id="rId10"/>
    <sheet name="ATHL46" sheetId="47" r:id="rId11"/>
    <sheet name="ATHL47" sheetId="48" r:id="rId12"/>
    <sheet name="ATHL48" sheetId="49" r:id="rId13"/>
    <sheet name="ATHL49" sheetId="50" r:id="rId14"/>
    <sheet name="ATHL50" sheetId="51" r:id="rId15"/>
    <sheet name="ATHL53" sheetId="52" r:id="rId16"/>
    <sheet name="MENS40" sheetId="53" r:id="rId17"/>
    <sheet name="MENS41" sheetId="54" r:id="rId18"/>
    <sheet name="MENS42" sheetId="55" r:id="rId19"/>
    <sheet name="MENS43" sheetId="56" r:id="rId20"/>
    <sheet name="MENS44" sheetId="57" r:id="rId21"/>
    <sheet name="MENS46" sheetId="58" r:id="rId22"/>
    <sheet name="MENS50" sheetId="59" r:id="rId23"/>
    <sheet name="WMNS41" sheetId="60" r:id="rId24"/>
    <sheet name="WMNS42" sheetId="61" r:id="rId25"/>
    <sheet name="WMNS44" sheetId="62" r:id="rId26"/>
    <sheet name="WMNS45" sheetId="63" r:id="rId27"/>
    <sheet name="WMNS46" sheetId="64" r:id="rId28"/>
    <sheet name="WMNS47" sheetId="65" r:id="rId29"/>
    <sheet name="WMNS48" sheetId="66" r:id="rId30"/>
    <sheet name="WMNS50" sheetId="67" r:id="rId31"/>
    <sheet name="WMNS51" sheetId="68" r:id="rId32"/>
    <sheet name="FT Salaries" sheetId="18" r:id="rId33"/>
    <sheet name="Strategic Funding request" sheetId="37" r:id="rId34"/>
    <sheet name="Reduction worksheet" sheetId="36" r:id="rId35"/>
    <sheet name="Capital Equipment $1,000 +" sheetId="32" r:id="rId36"/>
    <sheet name="Equipment below $1,000" sheetId="33" r:id="rId37"/>
    <sheet name="Revenue Summary Other Sources" sheetId="29" r:id="rId38"/>
    <sheet name="Division Worksheet" sheetId="16" state="hidden" r:id="rId39"/>
    <sheet name="Revised One-Time &amp; Capital" sheetId="10" state="hidden" r:id="rId40"/>
    <sheet name="Account Codes" sheetId="12" state="hidden" r:id="rId41"/>
    <sheet name="DeptListing" sheetId="5" state="hidden" r:id="rId42"/>
    <sheet name="StratObjectives" sheetId="6" state="hidden" r:id="rId43"/>
  </sheets>
  <externalReferences>
    <externalReference r:id="rId44"/>
    <externalReference r:id="rId45"/>
    <externalReference r:id="rId46"/>
    <externalReference r:id="rId47"/>
    <externalReference r:id="rId48"/>
  </externalReferences>
  <definedNames>
    <definedName name="Dept1" localSheetId="35">[1]DeptListing!$A$2:$A$39</definedName>
    <definedName name="Dept1" localSheetId="36">[2]DeptListing!$A$2:$A$39</definedName>
    <definedName name="Dept1" localSheetId="0">[3]DeptListing!$A$2:$A$39</definedName>
    <definedName name="Dept1">DeptListing!$A$2:$A$39</definedName>
    <definedName name="Depts">DeptListing!$A$2:$A$12</definedName>
    <definedName name="Depts.">DeptListing!$A$2:$A$12</definedName>
    <definedName name="_xlnm.Print_Area" localSheetId="5">ATHL40!$A$1:$P$73</definedName>
    <definedName name="_xlnm.Print_Area" localSheetId="6">ATHL42!$A$1:$P$60</definedName>
    <definedName name="_xlnm.Print_Area" localSheetId="7">ATHL43!$A$1:$P$58</definedName>
    <definedName name="_xlnm.Print_Area" localSheetId="8">ATHL44!$A$1:$P$52</definedName>
    <definedName name="_xlnm.Print_Area" localSheetId="9">ATHL45!$A$1:$P$39</definedName>
    <definedName name="_xlnm.Print_Area" localSheetId="10">ATHL46!$A$1:$P$37</definedName>
    <definedName name="_xlnm.Print_Area" localSheetId="11">ATHL47!$A$1:$P$46</definedName>
    <definedName name="_xlnm.Print_Area" localSheetId="12">ATHL48!$A$1:$P$37</definedName>
    <definedName name="_xlnm.Print_Area" localSheetId="13">ATHL49!$A$1:$P$45</definedName>
    <definedName name="_xlnm.Print_Area" localSheetId="14">ATHL50!$A$1:$P$45</definedName>
    <definedName name="_xlnm.Print_Area" localSheetId="15">ATHL53!$A$1:$P$37</definedName>
    <definedName name="_xlnm.Print_Area" localSheetId="3">'Athletics Data and Benchmarks'!$A$1:$E$15</definedName>
    <definedName name="_xlnm.Print_Area" localSheetId="4">'Athletics Summary by Index'!$A$1:$Q$153</definedName>
    <definedName name="_xlnm.Print_Area" localSheetId="35">'Capital Equipment $1,000 +'!$A$1:$U$29</definedName>
    <definedName name="_xlnm.Print_Area" localSheetId="36">'Equipment below $1,000'!$A$1:$U$31</definedName>
    <definedName name="_xlnm.Print_Area" localSheetId="32">'FT Salaries'!$A$1:$H$101</definedName>
    <definedName name="_xlnm.Print_Area" localSheetId="0">Instructions!$A$1:$J$84</definedName>
    <definedName name="_xlnm.Print_Area" localSheetId="16">MENS40!$A$1:$P$50</definedName>
    <definedName name="_xlnm.Print_Area" localSheetId="17">MENS41!$A$1:$P$57</definedName>
    <definedName name="_xlnm.Print_Area" localSheetId="18">MENS42!$A$1:$P$48</definedName>
    <definedName name="_xlnm.Print_Area" localSheetId="19">MENS43!$A$1:$P$62</definedName>
    <definedName name="_xlnm.Print_Area" localSheetId="20">MENS44!$A$1:$P$49</definedName>
    <definedName name="_xlnm.Print_Area" localSheetId="21">MENS46!$A$1:$P$51</definedName>
    <definedName name="_xlnm.Print_Area" localSheetId="22">MENS50!$A$1:$P$52</definedName>
    <definedName name="_xlnm.Print_Area" localSheetId="1">Narrative!$A$1:$I$49</definedName>
    <definedName name="_xlnm.Print_Area" localSheetId="37">'Revenue Summary Other Sources'!$A$1:$G$13</definedName>
    <definedName name="_xlnm.Print_Area" localSheetId="33">'Strategic Funding request'!$C$1:$I$17</definedName>
    <definedName name="_xlnm.Print_Area" localSheetId="23">WMNS41!$A$1:$P$55</definedName>
    <definedName name="_xlnm.Print_Area" localSheetId="24">WMNS42!$A$1:$P$45</definedName>
    <definedName name="_xlnm.Print_Area" localSheetId="25">WMNS44!$A$1:$P$50</definedName>
    <definedName name="_xlnm.Print_Area" localSheetId="26">WMNS45!$A$1:$P$62</definedName>
    <definedName name="_xlnm.Print_Area" localSheetId="27">WMNS46!$A$1:$P$56</definedName>
    <definedName name="_xlnm.Print_Area" localSheetId="28">WMNS47!$A$1:$P$52</definedName>
    <definedName name="_xlnm.Print_Area" localSheetId="29">WMNS48!$A$1:$P$52</definedName>
    <definedName name="_xlnm.Print_Area" localSheetId="30">WMNS50!$A$1:$P$53</definedName>
    <definedName name="_xlnm.Print_Area" localSheetId="31">WMNS51!$A$1:$P$52</definedName>
    <definedName name="_xlnm.Print_Titles" localSheetId="5">ATHL40!$B:$C,ATHL40!$20:$20</definedName>
    <definedName name="_xlnm.Print_Titles" localSheetId="6">ATHL42!$B:$C,ATHL42!$21:$21</definedName>
    <definedName name="_xlnm.Print_Titles" localSheetId="7">ATHL43!$B:$C,ATHL43!$19:$19</definedName>
    <definedName name="_xlnm.Print_Titles" localSheetId="8">ATHL44!$B:$C,ATHL44!$20:$20</definedName>
    <definedName name="_xlnm.Print_Titles" localSheetId="9">ATHL45!$B:$C</definedName>
    <definedName name="_xlnm.Print_Titles" localSheetId="10">ATHL46!$B:$C</definedName>
    <definedName name="_xlnm.Print_Titles" localSheetId="11">ATHL47!$B:$C</definedName>
    <definedName name="_xlnm.Print_Titles" localSheetId="12">ATHL48!$B:$C</definedName>
    <definedName name="_xlnm.Print_Titles" localSheetId="13">ATHL49!$B:$C</definedName>
    <definedName name="_xlnm.Print_Titles" localSheetId="14">ATHL50!$B:$C</definedName>
    <definedName name="_xlnm.Print_Titles" localSheetId="15">ATHL53!$B:$C</definedName>
    <definedName name="_xlnm.Print_Titles" localSheetId="4">'Athletics Summary by Index'!$C:$C,'Athletics Summary by Index'!$4:$4</definedName>
    <definedName name="_xlnm.Print_Titles" localSheetId="32">'FT Salaries'!$A:$C</definedName>
    <definedName name="_xlnm.Print_Titles" localSheetId="16">MENS40!$B:$C</definedName>
    <definedName name="_xlnm.Print_Titles" localSheetId="17">MENS41!$B:$C,MENS41!$20:$20</definedName>
    <definedName name="_xlnm.Print_Titles" localSheetId="18">MENS42!$B:$C</definedName>
    <definedName name="_xlnm.Print_Titles" localSheetId="19">MENS43!$B:$C,MENS43!$20:$20</definedName>
    <definedName name="_xlnm.Print_Titles" localSheetId="20">MENS44!$B:$C</definedName>
    <definedName name="_xlnm.Print_Titles" localSheetId="21">MENS46!$B:$C</definedName>
    <definedName name="_xlnm.Print_Titles" localSheetId="22">MENS50!$B:$C</definedName>
    <definedName name="_xlnm.Print_Titles" localSheetId="23">WMNS41!$B:$C,WMNS41!$17:$17</definedName>
    <definedName name="_xlnm.Print_Titles" localSheetId="24">WMNS42!$B:$C</definedName>
    <definedName name="_xlnm.Print_Titles" localSheetId="25">WMNS44!$B:$C</definedName>
    <definedName name="_xlnm.Print_Titles" localSheetId="26">WMNS45!$B:$C,WMNS45!$20:$20</definedName>
    <definedName name="_xlnm.Print_Titles" localSheetId="27">WMNS46!$B:$C,WMNS46!$20:$20</definedName>
    <definedName name="_xlnm.Print_Titles" localSheetId="28">WMNS47!$B:$C</definedName>
    <definedName name="_xlnm.Print_Titles" localSheetId="29">WMNS48!$B:$C</definedName>
    <definedName name="_xlnm.Print_Titles" localSheetId="30">WMNS50!$B:$C</definedName>
    <definedName name="_xlnm.Print_Titles" localSheetId="31">WMNS51!$B:$C</definedName>
    <definedName name="StratObj">StratObjectives!$A$1:$A$10</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35" l="1"/>
  <c r="C27" i="35"/>
  <c r="I21" i="49"/>
  <c r="P33" i="33"/>
  <c r="P15" i="33"/>
  <c r="M153" i="41"/>
  <c r="N153" i="41"/>
  <c r="O153" i="41"/>
  <c r="L153" i="41"/>
  <c r="H25" i="53"/>
  <c r="H39" i="53"/>
  <c r="J11" i="41"/>
  <c r="Q9" i="41"/>
  <c r="I9" i="41"/>
  <c r="J9" i="41"/>
  <c r="I13" i="41"/>
  <c r="I18" i="41"/>
  <c r="I23" i="41"/>
  <c r="K23" i="41"/>
  <c r="I29" i="41"/>
  <c r="I34" i="41"/>
  <c r="I39" i="41"/>
  <c r="K39" i="41"/>
  <c r="I44" i="41"/>
  <c r="I50" i="41"/>
  <c r="I55" i="41"/>
  <c r="I60" i="41"/>
  <c r="I65" i="41"/>
  <c r="K65" i="41"/>
  <c r="I70" i="41"/>
  <c r="I75" i="41"/>
  <c r="I80" i="41"/>
  <c r="K80" i="41"/>
  <c r="I85" i="41"/>
  <c r="I90" i="41"/>
  <c r="I95" i="41"/>
  <c r="I100" i="41"/>
  <c r="I105" i="41"/>
  <c r="J105" i="41"/>
  <c r="I110" i="41"/>
  <c r="I115" i="41"/>
  <c r="I120" i="41"/>
  <c r="J120" i="41"/>
  <c r="I125" i="41"/>
  <c r="I130" i="41"/>
  <c r="I135" i="41"/>
  <c r="I140" i="41"/>
  <c r="I145" i="41"/>
  <c r="K145" i="41"/>
  <c r="I14" i="41"/>
  <c r="I19" i="41"/>
  <c r="K19" i="41"/>
  <c r="I25" i="41"/>
  <c r="I30" i="41"/>
  <c r="I35" i="41"/>
  <c r="I40" i="41"/>
  <c r="I46" i="41"/>
  <c r="I51" i="41"/>
  <c r="I56" i="41"/>
  <c r="I61" i="41"/>
  <c r="I66" i="41"/>
  <c r="I71" i="41"/>
  <c r="I76" i="41"/>
  <c r="I81" i="41"/>
  <c r="I86" i="41"/>
  <c r="I91" i="41"/>
  <c r="K91" i="41"/>
  <c r="I96" i="41"/>
  <c r="I101" i="41"/>
  <c r="I106" i="41"/>
  <c r="I111" i="41"/>
  <c r="I116" i="41"/>
  <c r="I121" i="41"/>
  <c r="I126" i="41"/>
  <c r="I131" i="41"/>
  <c r="I133" i="41"/>
  <c r="I136" i="41"/>
  <c r="I141" i="41"/>
  <c r="I146" i="41"/>
  <c r="H13" i="41"/>
  <c r="H18" i="41"/>
  <c r="H23" i="41"/>
  <c r="H29" i="41"/>
  <c r="H34" i="41"/>
  <c r="K34" i="41"/>
  <c r="H39" i="41"/>
  <c r="H44" i="41"/>
  <c r="J44" i="41"/>
  <c r="H50" i="41"/>
  <c r="K50" i="41"/>
  <c r="H55" i="41"/>
  <c r="H60" i="41"/>
  <c r="H65" i="41"/>
  <c r="H70" i="41"/>
  <c r="H75" i="41"/>
  <c r="H80" i="41"/>
  <c r="H85" i="41"/>
  <c r="J85" i="41"/>
  <c r="H90" i="41"/>
  <c r="J90" i="41"/>
  <c r="H95" i="41"/>
  <c r="H100" i="41"/>
  <c r="H105" i="41"/>
  <c r="H110" i="41"/>
  <c r="H115" i="41"/>
  <c r="H120" i="41"/>
  <c r="H125" i="41"/>
  <c r="H130" i="41"/>
  <c r="K130" i="41"/>
  <c r="H135" i="41"/>
  <c r="K135" i="41"/>
  <c r="H140" i="41"/>
  <c r="H145" i="41"/>
  <c r="H14" i="41"/>
  <c r="H15" i="41"/>
  <c r="K15" i="41"/>
  <c r="H19" i="41"/>
  <c r="H20" i="41"/>
  <c r="H21" i="41"/>
  <c r="H25" i="41"/>
  <c r="H26" i="41"/>
  <c r="H24" i="41"/>
  <c r="H30" i="41"/>
  <c r="H32" i="41"/>
  <c r="Q32" i="41"/>
  <c r="H31" i="41"/>
  <c r="J31" i="41"/>
  <c r="H35" i="41"/>
  <c r="H36" i="41"/>
  <c r="H40" i="41"/>
  <c r="H42" i="41"/>
  <c r="H41" i="41"/>
  <c r="H46" i="41"/>
  <c r="H47" i="41"/>
  <c r="H45" i="41"/>
  <c r="J45" i="41"/>
  <c r="H51" i="41"/>
  <c r="H52" i="41"/>
  <c r="H56" i="41"/>
  <c r="H58" i="41"/>
  <c r="Q58" i="41"/>
  <c r="H57" i="41"/>
  <c r="H61" i="41"/>
  <c r="H63" i="41"/>
  <c r="H62" i="41"/>
  <c r="H66" i="41"/>
  <c r="H68" i="41"/>
  <c r="H67" i="41"/>
  <c r="H71" i="41"/>
  <c r="H76" i="41"/>
  <c r="K76" i="41"/>
  <c r="H77" i="41"/>
  <c r="J77" i="41"/>
  <c r="H81" i="41"/>
  <c r="H82" i="41"/>
  <c r="H86" i="41"/>
  <c r="H87" i="41"/>
  <c r="H88" i="41"/>
  <c r="J88" i="41"/>
  <c r="H91" i="41"/>
  <c r="H92" i="41"/>
  <c r="H96" i="41"/>
  <c r="H98" i="41"/>
  <c r="H97" i="41"/>
  <c r="H101" i="41"/>
  <c r="H102" i="41"/>
  <c r="H103" i="41"/>
  <c r="Q103" i="41"/>
  <c r="H106" i="41"/>
  <c r="H107" i="41"/>
  <c r="H111" i="41"/>
  <c r="H113" i="41"/>
  <c r="H112" i="41"/>
  <c r="H116" i="41"/>
  <c r="K116" i="41"/>
  <c r="H117" i="41"/>
  <c r="H121" i="41"/>
  <c r="H123" i="41"/>
  <c r="Q123" i="41"/>
  <c r="H122" i="41"/>
  <c r="H126" i="41"/>
  <c r="H128" i="41"/>
  <c r="H127" i="41"/>
  <c r="H131" i="41"/>
  <c r="H132" i="41"/>
  <c r="H136" i="41"/>
  <c r="H137" i="41"/>
  <c r="H141" i="41"/>
  <c r="H142" i="41"/>
  <c r="H143" i="41"/>
  <c r="H146" i="41"/>
  <c r="H147" i="41"/>
  <c r="I6" i="67"/>
  <c r="H6" i="67"/>
  <c r="I6" i="61"/>
  <c r="H6" i="61"/>
  <c r="I6" i="59"/>
  <c r="I6" i="55"/>
  <c r="H6" i="59"/>
  <c r="H6" i="55"/>
  <c r="E101" i="18"/>
  <c r="E62" i="18"/>
  <c r="E56" i="18"/>
  <c r="E57" i="18"/>
  <c r="E58" i="18"/>
  <c r="E52" i="18"/>
  <c r="E53" i="18"/>
  <c r="E54" i="18"/>
  <c r="E48" i="18"/>
  <c r="E49" i="18"/>
  <c r="E50" i="18"/>
  <c r="E61" i="18"/>
  <c r="E60" i="18"/>
  <c r="E12" i="18"/>
  <c r="H6" i="39"/>
  <c r="H8" i="39"/>
  <c r="E17" i="18"/>
  <c r="H6" i="43"/>
  <c r="H8" i="43"/>
  <c r="E22" i="18"/>
  <c r="H6" i="44"/>
  <c r="H8" i="44"/>
  <c r="E26" i="18"/>
  <c r="H6" i="45"/>
  <c r="H8" i="45"/>
  <c r="E29" i="18"/>
  <c r="H6" i="48"/>
  <c r="H8" i="48"/>
  <c r="E33" i="18"/>
  <c r="H6" i="50"/>
  <c r="H8" i="50"/>
  <c r="E36" i="18"/>
  <c r="H6" i="51"/>
  <c r="H8" i="51"/>
  <c r="E40" i="18"/>
  <c r="H6" i="53"/>
  <c r="H8" i="53"/>
  <c r="E46" i="18"/>
  <c r="H6" i="54"/>
  <c r="H8" i="54"/>
  <c r="E70" i="18"/>
  <c r="H6" i="56"/>
  <c r="H8" i="56"/>
  <c r="E74" i="18"/>
  <c r="H6" i="58"/>
  <c r="H8" i="58"/>
  <c r="E80" i="18"/>
  <c r="H6" i="60"/>
  <c r="H8" i="60"/>
  <c r="E83" i="18"/>
  <c r="H6" i="63"/>
  <c r="H8" i="63"/>
  <c r="E87" i="18"/>
  <c r="H6" i="64"/>
  <c r="H8" i="64"/>
  <c r="E91" i="18"/>
  <c r="H6" i="65"/>
  <c r="H8" i="65"/>
  <c r="E94" i="18"/>
  <c r="H6" i="66"/>
  <c r="H8" i="66"/>
  <c r="E98" i="18"/>
  <c r="H6" i="68"/>
  <c r="H8" i="68"/>
  <c r="H8" i="55"/>
  <c r="H8" i="59"/>
  <c r="H8" i="61"/>
  <c r="H8" i="67"/>
  <c r="I6" i="39"/>
  <c r="I8" i="39"/>
  <c r="I6" i="43"/>
  <c r="I8" i="43"/>
  <c r="I6" i="44"/>
  <c r="I8" i="44"/>
  <c r="I6" i="45"/>
  <c r="I8" i="45"/>
  <c r="I6" i="48"/>
  <c r="I8" i="48"/>
  <c r="I6" i="50"/>
  <c r="I8" i="50"/>
  <c r="I6" i="51"/>
  <c r="I8" i="51"/>
  <c r="I6" i="53"/>
  <c r="I8" i="53"/>
  <c r="I6" i="54"/>
  <c r="I8" i="54"/>
  <c r="I6" i="56"/>
  <c r="I8" i="56"/>
  <c r="I6" i="58"/>
  <c r="I8" i="58"/>
  <c r="I6" i="60"/>
  <c r="I8" i="60"/>
  <c r="I6" i="63"/>
  <c r="I8" i="63"/>
  <c r="I6" i="64"/>
  <c r="I8" i="64"/>
  <c r="I6" i="65"/>
  <c r="I8" i="65"/>
  <c r="I6" i="66"/>
  <c r="I8" i="66"/>
  <c r="I6" i="68"/>
  <c r="I8" i="68"/>
  <c r="I8" i="55"/>
  <c r="I8" i="59"/>
  <c r="I8" i="61"/>
  <c r="I8" i="67"/>
  <c r="G13" i="41"/>
  <c r="I122" i="41"/>
  <c r="K122" i="41"/>
  <c r="I27" i="43"/>
  <c r="H37" i="43"/>
  <c r="H28" i="43"/>
  <c r="I28" i="43"/>
  <c r="K13" i="43"/>
  <c r="J13" i="43"/>
  <c r="J14" i="43"/>
  <c r="K14" i="43"/>
  <c r="M96" i="41"/>
  <c r="M126" i="41"/>
  <c r="I150" i="41"/>
  <c r="I147" i="41"/>
  <c r="K147" i="41"/>
  <c r="I142" i="41"/>
  <c r="K142" i="41"/>
  <c r="K140" i="41"/>
  <c r="I137" i="41"/>
  <c r="I138" i="41"/>
  <c r="K136" i="41"/>
  <c r="I132" i="41"/>
  <c r="K132" i="41"/>
  <c r="I127" i="41"/>
  <c r="I128" i="41"/>
  <c r="K127" i="41"/>
  <c r="K126" i="41"/>
  <c r="K125" i="41"/>
  <c r="I117" i="41"/>
  <c r="K117" i="41"/>
  <c r="I112" i="41"/>
  <c r="I113" i="41"/>
  <c r="K111" i="41"/>
  <c r="K110" i="41"/>
  <c r="I107" i="41"/>
  <c r="K107" i="41"/>
  <c r="I102" i="41"/>
  <c r="K102" i="41"/>
  <c r="K100" i="41"/>
  <c r="I97" i="41"/>
  <c r="K97" i="41"/>
  <c r="K96" i="41"/>
  <c r="K95" i="41"/>
  <c r="I92" i="41"/>
  <c r="K92" i="41"/>
  <c r="I87" i="41"/>
  <c r="I88" i="41"/>
  <c r="K86" i="41"/>
  <c r="K85" i="41"/>
  <c r="I82" i="41"/>
  <c r="K82" i="41"/>
  <c r="K81" i="41"/>
  <c r="I77" i="41"/>
  <c r="I78" i="41"/>
  <c r="I72" i="41"/>
  <c r="I73" i="41"/>
  <c r="K71" i="41"/>
  <c r="K70" i="41"/>
  <c r="I67" i="41"/>
  <c r="K67" i="41"/>
  <c r="I62" i="41"/>
  <c r="K62" i="41"/>
  <c r="K60" i="41"/>
  <c r="I57" i="41"/>
  <c r="I58" i="41"/>
  <c r="K56" i="41"/>
  <c r="K55" i="41"/>
  <c r="I47" i="41"/>
  <c r="I48" i="41"/>
  <c r="I45" i="41"/>
  <c r="K46" i="41"/>
  <c r="K44" i="41"/>
  <c r="I41" i="41"/>
  <c r="K41" i="41"/>
  <c r="K40" i="41"/>
  <c r="M6" i="48"/>
  <c r="H7" i="41"/>
  <c r="I7" i="41"/>
  <c r="O142" i="41"/>
  <c r="M142" i="41"/>
  <c r="N42" i="67"/>
  <c r="N142" i="41"/>
  <c r="L142" i="41"/>
  <c r="L141" i="41"/>
  <c r="I24" i="41"/>
  <c r="J24" i="41"/>
  <c r="I22" i="67"/>
  <c r="P14" i="33"/>
  <c r="I22" i="59"/>
  <c r="I12" i="44"/>
  <c r="I13" i="44"/>
  <c r="H21" i="49"/>
  <c r="P13" i="33"/>
  <c r="P12" i="33"/>
  <c r="P11" i="33"/>
  <c r="I22" i="64"/>
  <c r="I21" i="65"/>
  <c r="H51" i="39"/>
  <c r="I22" i="50"/>
  <c r="H22" i="50"/>
  <c r="I23" i="60"/>
  <c r="J29" i="60"/>
  <c r="K29" i="60"/>
  <c r="J50" i="65"/>
  <c r="M51" i="56"/>
  <c r="N51" i="56"/>
  <c r="O51" i="56"/>
  <c r="O18" i="56"/>
  <c r="O52" i="56"/>
  <c r="L51" i="56"/>
  <c r="H34" i="68"/>
  <c r="K34" i="67"/>
  <c r="J34" i="67"/>
  <c r="H33" i="67"/>
  <c r="H32" i="66"/>
  <c r="H33" i="65"/>
  <c r="H35" i="64"/>
  <c r="H40" i="63"/>
  <c r="H35" i="60"/>
  <c r="H36" i="60"/>
  <c r="H36" i="58"/>
  <c r="H26" i="51"/>
  <c r="H27" i="50"/>
  <c r="H27" i="48"/>
  <c r="H33" i="45"/>
  <c r="H36" i="44"/>
  <c r="H39" i="43"/>
  <c r="H43" i="39"/>
  <c r="H25" i="59"/>
  <c r="H25" i="67"/>
  <c r="Q5" i="41"/>
  <c r="F137" i="41"/>
  <c r="G137" i="41"/>
  <c r="E137" i="41"/>
  <c r="F77" i="41"/>
  <c r="G77" i="41"/>
  <c r="E77" i="41"/>
  <c r="G6" i="54"/>
  <c r="F6" i="53"/>
  <c r="F6" i="51"/>
  <c r="G45" i="41"/>
  <c r="F45" i="41"/>
  <c r="E45" i="41"/>
  <c r="O45" i="41"/>
  <c r="N45" i="41"/>
  <c r="M45" i="41"/>
  <c r="L45" i="41"/>
  <c r="K11" i="41"/>
  <c r="K150" i="41"/>
  <c r="J150" i="41"/>
  <c r="M147" i="41"/>
  <c r="N147" i="41"/>
  <c r="M146" i="41"/>
  <c r="N146" i="41"/>
  <c r="O146" i="41"/>
  <c r="M145" i="41"/>
  <c r="N145" i="41"/>
  <c r="O145" i="41"/>
  <c r="L146" i="41"/>
  <c r="L145" i="41"/>
  <c r="M137" i="41"/>
  <c r="M138" i="41"/>
  <c r="N137" i="41"/>
  <c r="M136" i="41"/>
  <c r="N136" i="41"/>
  <c r="N138" i="41"/>
  <c r="O136" i="41"/>
  <c r="M135" i="41"/>
  <c r="N135" i="41"/>
  <c r="O135" i="41"/>
  <c r="L136" i="41"/>
  <c r="L138" i="41"/>
  <c r="L135" i="41"/>
  <c r="M131" i="41"/>
  <c r="N131" i="41"/>
  <c r="O131" i="41"/>
  <c r="M130" i="41"/>
  <c r="N130" i="41"/>
  <c r="O130" i="41"/>
  <c r="L131" i="41"/>
  <c r="L133" i="41"/>
  <c r="L130" i="41"/>
  <c r="M127" i="41"/>
  <c r="M128" i="41"/>
  <c r="N127" i="41"/>
  <c r="O45" i="64"/>
  <c r="O127" i="41"/>
  <c r="N126" i="41"/>
  <c r="O126" i="41"/>
  <c r="M125" i="41"/>
  <c r="N125" i="41"/>
  <c r="O125" i="41"/>
  <c r="L126" i="41"/>
  <c r="L125" i="41"/>
  <c r="M122" i="41"/>
  <c r="N122" i="41"/>
  <c r="M121" i="41"/>
  <c r="N121" i="41"/>
  <c r="N123" i="41"/>
  <c r="O121" i="41"/>
  <c r="M120" i="41"/>
  <c r="N120" i="41"/>
  <c r="O120" i="41"/>
  <c r="L51" i="63"/>
  <c r="L122" i="41"/>
  <c r="L121" i="41"/>
  <c r="L120" i="41"/>
  <c r="M117" i="41"/>
  <c r="N117" i="41"/>
  <c r="N118" i="41"/>
  <c r="O117" i="41"/>
  <c r="M116" i="41"/>
  <c r="N116" i="41"/>
  <c r="O116" i="41"/>
  <c r="M115" i="41"/>
  <c r="N115" i="41"/>
  <c r="O115" i="41"/>
  <c r="L117" i="41"/>
  <c r="L116" i="41"/>
  <c r="L115" i="41"/>
  <c r="M112" i="41"/>
  <c r="N112" i="41"/>
  <c r="O34" i="61"/>
  <c r="O112" i="41"/>
  <c r="M111" i="41"/>
  <c r="N111" i="41"/>
  <c r="N113" i="41"/>
  <c r="O111" i="41"/>
  <c r="M110" i="41"/>
  <c r="N110" i="41"/>
  <c r="O110" i="41"/>
  <c r="L34" i="61"/>
  <c r="L112" i="41"/>
  <c r="L113" i="41"/>
  <c r="L111" i="41"/>
  <c r="L110" i="41"/>
  <c r="M102" i="41"/>
  <c r="N41" i="59"/>
  <c r="N102" i="41"/>
  <c r="O41" i="59"/>
  <c r="O102" i="41"/>
  <c r="M101" i="41"/>
  <c r="M103" i="41"/>
  <c r="N101" i="41"/>
  <c r="O101" i="41"/>
  <c r="O103" i="41"/>
  <c r="M100" i="41"/>
  <c r="N100" i="41"/>
  <c r="O100" i="41"/>
  <c r="L41" i="59"/>
  <c r="L102" i="41"/>
  <c r="L101" i="41"/>
  <c r="L103" i="41"/>
  <c r="L100" i="41"/>
  <c r="M92" i="41"/>
  <c r="N92" i="41"/>
  <c r="O92" i="41"/>
  <c r="M91" i="41"/>
  <c r="N91" i="41"/>
  <c r="O91" i="41"/>
  <c r="M90" i="41"/>
  <c r="N90" i="41"/>
  <c r="O90" i="41"/>
  <c r="L92" i="41"/>
  <c r="L93" i="41"/>
  <c r="L91" i="41"/>
  <c r="L90" i="41"/>
  <c r="M87" i="41"/>
  <c r="O87" i="41"/>
  <c r="M86" i="41"/>
  <c r="M88" i="41"/>
  <c r="N86" i="41"/>
  <c r="O86" i="41"/>
  <c r="O88" i="41"/>
  <c r="M85" i="41"/>
  <c r="N85" i="41"/>
  <c r="O85" i="41"/>
  <c r="L87" i="41"/>
  <c r="L86" i="41"/>
  <c r="L85" i="41"/>
  <c r="M82" i="41"/>
  <c r="N82" i="41"/>
  <c r="N83" i="41"/>
  <c r="O37" i="55"/>
  <c r="O82" i="41"/>
  <c r="M81" i="41"/>
  <c r="N81" i="41"/>
  <c r="O81" i="41"/>
  <c r="M80" i="41"/>
  <c r="N80" i="41"/>
  <c r="O80" i="41"/>
  <c r="L37" i="55"/>
  <c r="L82" i="41"/>
  <c r="L81" i="41"/>
  <c r="L80" i="41"/>
  <c r="M77" i="41"/>
  <c r="N77" i="41"/>
  <c r="M76" i="41"/>
  <c r="N76" i="41"/>
  <c r="O76" i="41"/>
  <c r="M75" i="41"/>
  <c r="N75" i="41"/>
  <c r="O75" i="41"/>
  <c r="L76" i="41"/>
  <c r="L75" i="41"/>
  <c r="M71" i="41"/>
  <c r="N71" i="41"/>
  <c r="O71" i="41"/>
  <c r="M70" i="41"/>
  <c r="N70" i="41"/>
  <c r="O70" i="41"/>
  <c r="L71" i="41"/>
  <c r="L70" i="41"/>
  <c r="M67" i="41"/>
  <c r="N67" i="41"/>
  <c r="N68" i="41"/>
  <c r="O67" i="41"/>
  <c r="M66" i="41"/>
  <c r="N66" i="41"/>
  <c r="O66" i="41"/>
  <c r="M65" i="41"/>
  <c r="N65" i="41"/>
  <c r="O65" i="41"/>
  <c r="L67" i="41"/>
  <c r="L66" i="41"/>
  <c r="L65" i="41"/>
  <c r="M62" i="41"/>
  <c r="N62" i="41"/>
  <c r="O62" i="41"/>
  <c r="M61" i="41"/>
  <c r="M63" i="41"/>
  <c r="N61" i="41"/>
  <c r="O61" i="41"/>
  <c r="M60" i="41"/>
  <c r="N60" i="41"/>
  <c r="O60" i="41"/>
  <c r="L62" i="41"/>
  <c r="L61" i="41"/>
  <c r="L60" i="41"/>
  <c r="M57" i="41"/>
  <c r="N57" i="41"/>
  <c r="N58" i="41"/>
  <c r="O57" i="41"/>
  <c r="M56" i="41"/>
  <c r="N56" i="41"/>
  <c r="O56" i="41"/>
  <c r="M55" i="41"/>
  <c r="N55" i="41"/>
  <c r="O55" i="41"/>
  <c r="L57" i="41"/>
  <c r="L56" i="41"/>
  <c r="L55" i="41"/>
  <c r="M52" i="41"/>
  <c r="N52" i="41"/>
  <c r="O26" i="49"/>
  <c r="O52" i="41"/>
  <c r="M51" i="41"/>
  <c r="N51" i="41"/>
  <c r="O51" i="41"/>
  <c r="M50" i="41"/>
  <c r="N50" i="41"/>
  <c r="O50" i="41"/>
  <c r="L52" i="41"/>
  <c r="L51" i="41"/>
  <c r="L50" i="41"/>
  <c r="M41" i="41"/>
  <c r="M42" i="41"/>
  <c r="N41" i="41"/>
  <c r="N42" i="41"/>
  <c r="M40" i="41"/>
  <c r="N40" i="41"/>
  <c r="O40" i="41"/>
  <c r="M39" i="41"/>
  <c r="N39" i="41"/>
  <c r="O39" i="41"/>
  <c r="L41" i="41"/>
  <c r="L40" i="41"/>
  <c r="L39" i="41"/>
  <c r="M31" i="41"/>
  <c r="N31" i="41"/>
  <c r="O31" i="41"/>
  <c r="N30" i="41"/>
  <c r="O30" i="41"/>
  <c r="M29" i="41"/>
  <c r="N29" i="41"/>
  <c r="O29" i="41"/>
  <c r="L31" i="41"/>
  <c r="L30" i="41"/>
  <c r="L29" i="41"/>
  <c r="M26" i="41"/>
  <c r="N26" i="41"/>
  <c r="L26" i="41"/>
  <c r="M25" i="41"/>
  <c r="N25" i="41"/>
  <c r="O25" i="41"/>
  <c r="L25" i="41"/>
  <c r="M24" i="41"/>
  <c r="N24" i="41"/>
  <c r="O24" i="41"/>
  <c r="L24" i="41"/>
  <c r="M23" i="41"/>
  <c r="N23" i="41"/>
  <c r="O23" i="41"/>
  <c r="L23" i="41"/>
  <c r="M20" i="41"/>
  <c r="N20" i="41"/>
  <c r="N21" i="41"/>
  <c r="O49" i="43"/>
  <c r="O20" i="41"/>
  <c r="M19" i="43"/>
  <c r="M19" i="41"/>
  <c r="N19" i="43"/>
  <c r="N19" i="41"/>
  <c r="O19" i="43"/>
  <c r="O19" i="41"/>
  <c r="O21" i="41"/>
  <c r="M18" i="41"/>
  <c r="N18" i="41"/>
  <c r="O18" i="41"/>
  <c r="L20" i="41"/>
  <c r="L19" i="43"/>
  <c r="L19" i="41"/>
  <c r="L18" i="41"/>
  <c r="M15" i="41"/>
  <c r="N15" i="41"/>
  <c r="O62" i="39"/>
  <c r="O15" i="41"/>
  <c r="L15" i="41"/>
  <c r="O14" i="41"/>
  <c r="O13" i="41"/>
  <c r="M14" i="41"/>
  <c r="N14" i="41"/>
  <c r="N16" i="41"/>
  <c r="L14" i="41"/>
  <c r="M13" i="41"/>
  <c r="N13" i="41"/>
  <c r="L13" i="41"/>
  <c r="G147" i="41"/>
  <c r="F147" i="41"/>
  <c r="E147" i="41"/>
  <c r="G146" i="41"/>
  <c r="G148" i="41"/>
  <c r="F146" i="41"/>
  <c r="E146" i="41"/>
  <c r="E148" i="41"/>
  <c r="G145" i="41"/>
  <c r="F145" i="41"/>
  <c r="E145" i="41"/>
  <c r="G136" i="41"/>
  <c r="F136" i="41"/>
  <c r="E136" i="41"/>
  <c r="G135" i="41"/>
  <c r="F135" i="41"/>
  <c r="E135" i="41"/>
  <c r="G132" i="41"/>
  <c r="F132" i="41"/>
  <c r="E132" i="41"/>
  <c r="G131" i="41"/>
  <c r="F131" i="41"/>
  <c r="F133" i="41"/>
  <c r="E131" i="41"/>
  <c r="G130" i="41"/>
  <c r="F130" i="41"/>
  <c r="E130" i="41"/>
  <c r="G127" i="41"/>
  <c r="F127" i="41"/>
  <c r="E127" i="41"/>
  <c r="G126" i="41"/>
  <c r="G128" i="41"/>
  <c r="F126" i="41"/>
  <c r="E126" i="41"/>
  <c r="E128" i="41"/>
  <c r="G125" i="41"/>
  <c r="F125" i="41"/>
  <c r="E125" i="41"/>
  <c r="G122" i="41"/>
  <c r="F122" i="41"/>
  <c r="E122" i="41"/>
  <c r="G121" i="41"/>
  <c r="F121" i="41"/>
  <c r="F123" i="41"/>
  <c r="E121" i="41"/>
  <c r="G120" i="41"/>
  <c r="F120" i="41"/>
  <c r="E120" i="41"/>
  <c r="G117" i="41"/>
  <c r="F117" i="41"/>
  <c r="E117" i="41"/>
  <c r="G116" i="41"/>
  <c r="G118" i="41"/>
  <c r="F116" i="41"/>
  <c r="E116" i="41"/>
  <c r="G115" i="41"/>
  <c r="F115" i="41"/>
  <c r="E115" i="41"/>
  <c r="G112" i="41"/>
  <c r="F112" i="41"/>
  <c r="E112" i="41"/>
  <c r="E113" i="41"/>
  <c r="G111" i="41"/>
  <c r="F111" i="41"/>
  <c r="E111" i="41"/>
  <c r="G110" i="41"/>
  <c r="F110" i="41"/>
  <c r="E110" i="41"/>
  <c r="G102" i="41"/>
  <c r="F102" i="41"/>
  <c r="F103" i="41"/>
  <c r="E102" i="41"/>
  <c r="G101" i="41"/>
  <c r="F101" i="41"/>
  <c r="E101" i="41"/>
  <c r="G100" i="41"/>
  <c r="F100" i="41"/>
  <c r="E100" i="41"/>
  <c r="L16" i="41"/>
  <c r="G92" i="41"/>
  <c r="F92" i="41"/>
  <c r="E92" i="41"/>
  <c r="G91" i="41"/>
  <c r="F91" i="41"/>
  <c r="E91" i="41"/>
  <c r="E93" i="41"/>
  <c r="G90" i="41"/>
  <c r="F90" i="41"/>
  <c r="E90" i="41"/>
  <c r="G87" i="41"/>
  <c r="F87" i="41"/>
  <c r="E87" i="41"/>
  <c r="G86" i="41"/>
  <c r="F86" i="41"/>
  <c r="F88" i="41"/>
  <c r="E86" i="41"/>
  <c r="G85" i="41"/>
  <c r="F85" i="41"/>
  <c r="E85" i="41"/>
  <c r="G82" i="41"/>
  <c r="F82" i="41"/>
  <c r="E82" i="41"/>
  <c r="G81" i="41"/>
  <c r="G83" i="41"/>
  <c r="F81" i="41"/>
  <c r="E81" i="41"/>
  <c r="E83" i="41"/>
  <c r="G80" i="41"/>
  <c r="F80" i="41"/>
  <c r="E80" i="41"/>
  <c r="G76" i="41"/>
  <c r="F76" i="41"/>
  <c r="E76" i="41"/>
  <c r="E78" i="41"/>
  <c r="F75" i="41"/>
  <c r="E75" i="41"/>
  <c r="G71" i="41"/>
  <c r="F71" i="41"/>
  <c r="E71" i="41"/>
  <c r="G70" i="41"/>
  <c r="E70" i="41"/>
  <c r="G67" i="41"/>
  <c r="F67" i="41"/>
  <c r="E67" i="41"/>
  <c r="E68" i="41"/>
  <c r="G66" i="41"/>
  <c r="F66" i="41"/>
  <c r="E66" i="41"/>
  <c r="G65" i="41"/>
  <c r="F65" i="41"/>
  <c r="E65" i="41"/>
  <c r="G62" i="41"/>
  <c r="F62" i="41"/>
  <c r="F63" i="41"/>
  <c r="E62" i="41"/>
  <c r="G61" i="41"/>
  <c r="F61" i="41"/>
  <c r="E61" i="41"/>
  <c r="G60" i="41"/>
  <c r="E60" i="41"/>
  <c r="G57" i="41"/>
  <c r="F57" i="41"/>
  <c r="F58" i="41"/>
  <c r="E57" i="41"/>
  <c r="G56" i="41"/>
  <c r="F56" i="41"/>
  <c r="E56" i="41"/>
  <c r="G55" i="41"/>
  <c r="F55" i="41"/>
  <c r="E55" i="41"/>
  <c r="G52" i="41"/>
  <c r="G53" i="41"/>
  <c r="F52" i="41"/>
  <c r="E52" i="41"/>
  <c r="G51" i="41"/>
  <c r="F51" i="41"/>
  <c r="E51" i="41"/>
  <c r="G50" i="41"/>
  <c r="F50" i="41"/>
  <c r="E50" i="41"/>
  <c r="G41" i="41"/>
  <c r="F41" i="41"/>
  <c r="E41" i="41"/>
  <c r="G40" i="41"/>
  <c r="F40" i="41"/>
  <c r="E40" i="41"/>
  <c r="E42" i="41"/>
  <c r="G39" i="41"/>
  <c r="F39" i="41"/>
  <c r="E39" i="41"/>
  <c r="G31" i="41"/>
  <c r="F31" i="41"/>
  <c r="E31" i="41"/>
  <c r="G30" i="41"/>
  <c r="F30" i="41"/>
  <c r="F32" i="41"/>
  <c r="E30" i="41"/>
  <c r="G29" i="41"/>
  <c r="F29" i="41"/>
  <c r="E29" i="41"/>
  <c r="G26" i="41"/>
  <c r="G25" i="41"/>
  <c r="G27" i="41"/>
  <c r="G24" i="41"/>
  <c r="F26" i="41"/>
  <c r="E26" i="41"/>
  <c r="F25" i="41"/>
  <c r="E25" i="41"/>
  <c r="E27" i="41"/>
  <c r="F48" i="44"/>
  <c r="G48" i="44"/>
  <c r="E48" i="44"/>
  <c r="F24" i="41"/>
  <c r="E24" i="41"/>
  <c r="K24" i="41"/>
  <c r="I49" i="43"/>
  <c r="I20" i="41"/>
  <c r="G20" i="41"/>
  <c r="F20" i="41"/>
  <c r="E20" i="41"/>
  <c r="I19" i="43"/>
  <c r="H19" i="43"/>
  <c r="G19" i="43"/>
  <c r="G19" i="41"/>
  <c r="G21" i="41"/>
  <c r="F19" i="43"/>
  <c r="F19" i="41"/>
  <c r="E19" i="43"/>
  <c r="E19" i="41"/>
  <c r="G18" i="41"/>
  <c r="F18" i="41"/>
  <c r="E18" i="41"/>
  <c r="K60" i="39"/>
  <c r="G15" i="41"/>
  <c r="F15" i="41"/>
  <c r="E15" i="41"/>
  <c r="G14" i="41"/>
  <c r="F14" i="41"/>
  <c r="E14" i="41"/>
  <c r="E16" i="41"/>
  <c r="H15" i="18"/>
  <c r="H49" i="18"/>
  <c r="H69" i="18"/>
  <c r="H82" i="18"/>
  <c r="H44" i="68"/>
  <c r="H45" i="67"/>
  <c r="H44" i="66"/>
  <c r="H44" i="65"/>
  <c r="H48" i="64"/>
  <c r="H54" i="63"/>
  <c r="H37" i="61"/>
  <c r="H47" i="60"/>
  <c r="H44" i="59"/>
  <c r="H43" i="58"/>
  <c r="H54" i="56"/>
  <c r="H40" i="55"/>
  <c r="H49" i="54"/>
  <c r="H29" i="49"/>
  <c r="G6" i="68"/>
  <c r="F6" i="68"/>
  <c r="E6" i="68"/>
  <c r="G6" i="67"/>
  <c r="F6" i="67"/>
  <c r="E6" i="67"/>
  <c r="G6" i="66"/>
  <c r="F6" i="66"/>
  <c r="E6" i="66"/>
  <c r="G6" i="65"/>
  <c r="F6" i="65"/>
  <c r="E6" i="65"/>
  <c r="G6" i="64"/>
  <c r="F6" i="64"/>
  <c r="E6" i="64"/>
  <c r="G6" i="63"/>
  <c r="F6" i="63"/>
  <c r="E6" i="63"/>
  <c r="G6" i="62"/>
  <c r="F6" i="62"/>
  <c r="E6" i="62"/>
  <c r="G6" i="61"/>
  <c r="F6" i="61"/>
  <c r="E6" i="61"/>
  <c r="G6" i="60"/>
  <c r="F6" i="60"/>
  <c r="E6" i="60"/>
  <c r="G6" i="59"/>
  <c r="F6" i="59"/>
  <c r="E6" i="59"/>
  <c r="G6" i="58"/>
  <c r="F6" i="58"/>
  <c r="E6" i="58"/>
  <c r="G6" i="57"/>
  <c r="F6" i="57"/>
  <c r="E6" i="57"/>
  <c r="G6" i="56"/>
  <c r="F6" i="56"/>
  <c r="E6" i="56"/>
  <c r="G6" i="55"/>
  <c r="F6" i="55"/>
  <c r="E6" i="55"/>
  <c r="F6" i="54"/>
  <c r="E6" i="54"/>
  <c r="G6" i="53"/>
  <c r="E6" i="53"/>
  <c r="G6" i="51"/>
  <c r="E6" i="51"/>
  <c r="F6" i="50"/>
  <c r="E6" i="50"/>
  <c r="G6" i="50"/>
  <c r="G6" i="48"/>
  <c r="F6" i="48"/>
  <c r="E6" i="48"/>
  <c r="G6" i="45"/>
  <c r="F6" i="45"/>
  <c r="E6" i="45"/>
  <c r="G6" i="44"/>
  <c r="F6" i="44"/>
  <c r="E6" i="44"/>
  <c r="G6" i="43"/>
  <c r="F6" i="43"/>
  <c r="E6" i="43"/>
  <c r="G6" i="39"/>
  <c r="F6" i="39"/>
  <c r="E6" i="39"/>
  <c r="B145" i="41"/>
  <c r="B146" i="41"/>
  <c r="B147" i="41"/>
  <c r="B148" i="41"/>
  <c r="A145" i="41"/>
  <c r="A146" i="41"/>
  <c r="A147" i="41"/>
  <c r="A148" i="41"/>
  <c r="B140" i="41"/>
  <c r="B141" i="41"/>
  <c r="B142" i="41"/>
  <c r="B143" i="41"/>
  <c r="A140" i="41"/>
  <c r="A141" i="41"/>
  <c r="A142" i="41"/>
  <c r="A143" i="41"/>
  <c r="B135" i="41"/>
  <c r="B136" i="41"/>
  <c r="B137" i="41"/>
  <c r="B138" i="41"/>
  <c r="A135" i="41"/>
  <c r="A136" i="41"/>
  <c r="A137" i="41"/>
  <c r="A138" i="41"/>
  <c r="B130" i="41"/>
  <c r="B131" i="41"/>
  <c r="B132" i="41"/>
  <c r="B133" i="41"/>
  <c r="A130" i="41"/>
  <c r="A131" i="41"/>
  <c r="A132" i="41"/>
  <c r="A133" i="41"/>
  <c r="B125" i="41"/>
  <c r="B126" i="41"/>
  <c r="B127" i="41"/>
  <c r="B128" i="41"/>
  <c r="A125" i="41"/>
  <c r="A126" i="41"/>
  <c r="A127" i="41"/>
  <c r="A128" i="41"/>
  <c r="B120" i="41"/>
  <c r="B121" i="41"/>
  <c r="B122" i="41"/>
  <c r="B123" i="41"/>
  <c r="A120" i="41"/>
  <c r="A121" i="41"/>
  <c r="A122" i="41"/>
  <c r="A123" i="41"/>
  <c r="B115" i="41"/>
  <c r="B116" i="41"/>
  <c r="B117" i="41"/>
  <c r="B118" i="41"/>
  <c r="A115" i="41"/>
  <c r="A116" i="41"/>
  <c r="A117" i="41"/>
  <c r="A118" i="41"/>
  <c r="B110" i="41"/>
  <c r="B111" i="41"/>
  <c r="B112" i="41"/>
  <c r="B113" i="41"/>
  <c r="A110" i="41"/>
  <c r="A111" i="41"/>
  <c r="A112" i="41"/>
  <c r="A113" i="41"/>
  <c r="B105" i="41"/>
  <c r="B106" i="41"/>
  <c r="B107" i="41"/>
  <c r="B108" i="41"/>
  <c r="A105" i="41"/>
  <c r="A106" i="41"/>
  <c r="A107" i="41"/>
  <c r="A108" i="41"/>
  <c r="B100" i="41"/>
  <c r="B101" i="41"/>
  <c r="B102" i="41"/>
  <c r="B103" i="41"/>
  <c r="A100" i="41"/>
  <c r="A101" i="41"/>
  <c r="A102" i="41"/>
  <c r="A103" i="41"/>
  <c r="B95" i="41"/>
  <c r="B96" i="41"/>
  <c r="B97" i="41"/>
  <c r="B98" i="41"/>
  <c r="A95" i="41"/>
  <c r="A96" i="41"/>
  <c r="A97" i="41"/>
  <c r="A98" i="41"/>
  <c r="B90" i="41"/>
  <c r="B91" i="41"/>
  <c r="B92" i="41"/>
  <c r="B93" i="41"/>
  <c r="A90" i="41"/>
  <c r="A91" i="41"/>
  <c r="A92" i="41"/>
  <c r="A93" i="41"/>
  <c r="B85" i="41"/>
  <c r="B86" i="41"/>
  <c r="B87" i="41"/>
  <c r="B88" i="41"/>
  <c r="A85" i="41"/>
  <c r="A86" i="41"/>
  <c r="A87" i="41"/>
  <c r="A88" i="41"/>
  <c r="B80" i="41"/>
  <c r="B81" i="41"/>
  <c r="B82" i="41"/>
  <c r="B83" i="41"/>
  <c r="A80" i="41"/>
  <c r="A81" i="41"/>
  <c r="A82" i="41"/>
  <c r="A83" i="41"/>
  <c r="B75" i="41"/>
  <c r="B76" i="41"/>
  <c r="B77" i="41"/>
  <c r="B78" i="41"/>
  <c r="A75" i="41"/>
  <c r="A76" i="41"/>
  <c r="A77" i="41"/>
  <c r="A78" i="41"/>
  <c r="B70" i="41"/>
  <c r="B71" i="41"/>
  <c r="B72" i="41"/>
  <c r="B73" i="41"/>
  <c r="A70" i="41"/>
  <c r="A71" i="41"/>
  <c r="A72" i="41"/>
  <c r="A73" i="41"/>
  <c r="B65" i="41"/>
  <c r="B66" i="41"/>
  <c r="B67" i="41"/>
  <c r="B68" i="41"/>
  <c r="A65" i="41"/>
  <c r="A66" i="41"/>
  <c r="A67" i="41"/>
  <c r="A68" i="41"/>
  <c r="B60" i="41"/>
  <c r="B61" i="41"/>
  <c r="B62" i="41"/>
  <c r="B63" i="41"/>
  <c r="A60" i="41"/>
  <c r="A61" i="41"/>
  <c r="A62" i="41"/>
  <c r="A63" i="41"/>
  <c r="B55" i="41"/>
  <c r="B56" i="41"/>
  <c r="B57" i="41"/>
  <c r="B58" i="41"/>
  <c r="A55" i="41"/>
  <c r="A56" i="41"/>
  <c r="A57" i="41"/>
  <c r="A58" i="41"/>
  <c r="B50" i="41"/>
  <c r="A50" i="41"/>
  <c r="A51" i="41"/>
  <c r="A52" i="41"/>
  <c r="A53" i="41"/>
  <c r="B44" i="41"/>
  <c r="B45" i="41"/>
  <c r="A44" i="41"/>
  <c r="A46" i="41"/>
  <c r="A47" i="41"/>
  <c r="A48" i="41"/>
  <c r="A45" i="41"/>
  <c r="B39" i="41"/>
  <c r="A39" i="41"/>
  <c r="B34" i="41"/>
  <c r="A34" i="41"/>
  <c r="A35" i="41"/>
  <c r="A36" i="41"/>
  <c r="A37" i="41"/>
  <c r="B29" i="41"/>
  <c r="A29" i="41"/>
  <c r="B23" i="41"/>
  <c r="B24" i="41"/>
  <c r="B25" i="41"/>
  <c r="B26" i="41"/>
  <c r="B27" i="41"/>
  <c r="A23" i="41"/>
  <c r="A24" i="41"/>
  <c r="A25" i="41"/>
  <c r="A26" i="41"/>
  <c r="A27" i="41"/>
  <c r="B18" i="41"/>
  <c r="A18" i="41"/>
  <c r="A19" i="41"/>
  <c r="A20" i="41"/>
  <c r="A21" i="41"/>
  <c r="B13" i="41"/>
  <c r="B14" i="41"/>
  <c r="B15" i="41"/>
  <c r="B16" i="41"/>
  <c r="A13" i="41"/>
  <c r="A14" i="41"/>
  <c r="A15" i="41"/>
  <c r="A16" i="41"/>
  <c r="M58" i="41"/>
  <c r="O52" i="68"/>
  <c r="N52" i="68"/>
  <c r="K50" i="68"/>
  <c r="J50" i="68"/>
  <c r="H45" i="68"/>
  <c r="N42" i="68"/>
  <c r="G42" i="68"/>
  <c r="O41" i="68"/>
  <c r="O147" i="41"/>
  <c r="N41" i="68"/>
  <c r="M41" i="68"/>
  <c r="L41" i="68"/>
  <c r="L147" i="41"/>
  <c r="L148" i="41"/>
  <c r="I41" i="68"/>
  <c r="H41" i="68"/>
  <c r="G41" i="68"/>
  <c r="F41" i="68"/>
  <c r="E41" i="68"/>
  <c r="K40" i="68"/>
  <c r="J40" i="68"/>
  <c r="K39" i="68"/>
  <c r="J39" i="68"/>
  <c r="K38" i="68"/>
  <c r="J38" i="68"/>
  <c r="K37" i="68"/>
  <c r="J37" i="68"/>
  <c r="K36" i="68"/>
  <c r="J36" i="68"/>
  <c r="K35" i="68"/>
  <c r="J35" i="68"/>
  <c r="K34" i="68"/>
  <c r="J34" i="68"/>
  <c r="K33" i="68"/>
  <c r="J33" i="68"/>
  <c r="K32" i="68"/>
  <c r="J32" i="68"/>
  <c r="K31" i="68"/>
  <c r="J31" i="68"/>
  <c r="K30" i="68"/>
  <c r="J30" i="68"/>
  <c r="K29" i="68"/>
  <c r="J29" i="68"/>
  <c r="K28" i="68"/>
  <c r="J28" i="68"/>
  <c r="K27" i="68"/>
  <c r="J27" i="68"/>
  <c r="K26" i="68"/>
  <c r="J26" i="68"/>
  <c r="K25" i="68"/>
  <c r="J25" i="68"/>
  <c r="K24" i="68"/>
  <c r="J24" i="68"/>
  <c r="K23" i="68"/>
  <c r="J23" i="68"/>
  <c r="K22" i="68"/>
  <c r="J22" i="68"/>
  <c r="K21" i="68"/>
  <c r="J21" i="68"/>
  <c r="O18" i="68"/>
  <c r="N18" i="68"/>
  <c r="M18" i="68"/>
  <c r="M42" i="68"/>
  <c r="L18" i="68"/>
  <c r="L42" i="68"/>
  <c r="K18" i="68"/>
  <c r="I18" i="68"/>
  <c r="J18" i="68"/>
  <c r="H18" i="68"/>
  <c r="G18" i="68"/>
  <c r="F18" i="68"/>
  <c r="E18" i="68"/>
  <c r="K17" i="68"/>
  <c r="J17" i="68"/>
  <c r="K16" i="68"/>
  <c r="J16" i="68"/>
  <c r="K15" i="68"/>
  <c r="J15" i="68"/>
  <c r="K14" i="68"/>
  <c r="J14" i="68"/>
  <c r="K13" i="68"/>
  <c r="J13" i="68"/>
  <c r="K12" i="68"/>
  <c r="J12" i="68"/>
  <c r="K10" i="68"/>
  <c r="J10" i="68"/>
  <c r="O8" i="68"/>
  <c r="N8" i="68"/>
  <c r="M8" i="68"/>
  <c r="L8" i="68"/>
  <c r="G8" i="68"/>
  <c r="F8" i="68"/>
  <c r="E8" i="68"/>
  <c r="K7" i="68"/>
  <c r="J7" i="68"/>
  <c r="K6" i="68"/>
  <c r="J6" i="68"/>
  <c r="O53" i="67"/>
  <c r="N53" i="67"/>
  <c r="K51" i="67"/>
  <c r="J51" i="67"/>
  <c r="H46" i="67"/>
  <c r="O42" i="67"/>
  <c r="M42" i="67"/>
  <c r="L42" i="67"/>
  <c r="I42" i="67"/>
  <c r="H42" i="67"/>
  <c r="G42" i="67"/>
  <c r="G142" i="41"/>
  <c r="F42" i="67"/>
  <c r="F142" i="41"/>
  <c r="E42" i="67"/>
  <c r="E142" i="41"/>
  <c r="K41" i="67"/>
  <c r="J41" i="67"/>
  <c r="K40" i="67"/>
  <c r="J40" i="67"/>
  <c r="K39" i="67"/>
  <c r="J39" i="67"/>
  <c r="K38" i="67"/>
  <c r="J38" i="67"/>
  <c r="K37" i="67"/>
  <c r="J37" i="67"/>
  <c r="K36" i="67"/>
  <c r="J36" i="67"/>
  <c r="K35" i="67"/>
  <c r="J35" i="67"/>
  <c r="K33" i="67"/>
  <c r="J33" i="67"/>
  <c r="K32" i="67"/>
  <c r="J32" i="67"/>
  <c r="K31" i="67"/>
  <c r="J31" i="67"/>
  <c r="K30" i="67"/>
  <c r="J30" i="67"/>
  <c r="K29" i="67"/>
  <c r="J29" i="67"/>
  <c r="K28" i="67"/>
  <c r="J28" i="67"/>
  <c r="K27" i="67"/>
  <c r="J27" i="67"/>
  <c r="K26" i="67"/>
  <c r="J26" i="67"/>
  <c r="K25" i="67"/>
  <c r="J25" i="67"/>
  <c r="K24" i="67"/>
  <c r="J24" i="67"/>
  <c r="K23" i="67"/>
  <c r="J23" i="67"/>
  <c r="K22" i="67"/>
  <c r="J22" i="67"/>
  <c r="K21" i="67"/>
  <c r="J21" i="67"/>
  <c r="O18" i="67"/>
  <c r="N18" i="67"/>
  <c r="M18" i="67"/>
  <c r="L18" i="67"/>
  <c r="I18" i="67"/>
  <c r="H18" i="67"/>
  <c r="G18" i="67"/>
  <c r="F18" i="67"/>
  <c r="F141" i="41"/>
  <c r="E18" i="67"/>
  <c r="E141" i="41"/>
  <c r="E143" i="41"/>
  <c r="K17" i="67"/>
  <c r="J17" i="67"/>
  <c r="K16" i="67"/>
  <c r="J16" i="67"/>
  <c r="K15" i="67"/>
  <c r="J15" i="67"/>
  <c r="K14" i="67"/>
  <c r="J14" i="67"/>
  <c r="K13" i="67"/>
  <c r="J13" i="67"/>
  <c r="K12" i="67"/>
  <c r="J12" i="67"/>
  <c r="K10" i="67"/>
  <c r="J10" i="67"/>
  <c r="O8" i="67"/>
  <c r="O140" i="41"/>
  <c r="N8" i="67"/>
  <c r="N140" i="41"/>
  <c r="M8" i="67"/>
  <c r="M140" i="41"/>
  <c r="L8" i="67"/>
  <c r="L140" i="41"/>
  <c r="G8" i="67"/>
  <c r="G140" i="41"/>
  <c r="F8" i="67"/>
  <c r="F140" i="41"/>
  <c r="E8" i="67"/>
  <c r="E140" i="41"/>
  <c r="K7" i="67"/>
  <c r="J7" i="67"/>
  <c r="K6" i="67"/>
  <c r="J6" i="67"/>
  <c r="O52" i="66"/>
  <c r="N52" i="66"/>
  <c r="K50" i="66"/>
  <c r="J50" i="66"/>
  <c r="H45" i="66"/>
  <c r="N42" i="66"/>
  <c r="M42" i="66"/>
  <c r="O41" i="66"/>
  <c r="O137" i="41"/>
  <c r="N41" i="66"/>
  <c r="M41" i="66"/>
  <c r="L41" i="66"/>
  <c r="L137" i="41"/>
  <c r="I41" i="66"/>
  <c r="H41" i="66"/>
  <c r="G41" i="66"/>
  <c r="F41" i="66"/>
  <c r="F42" i="66"/>
  <c r="E41" i="66"/>
  <c r="K40" i="66"/>
  <c r="J40" i="66"/>
  <c r="K39" i="66"/>
  <c r="J39" i="66"/>
  <c r="K38" i="66"/>
  <c r="J38" i="66"/>
  <c r="K37" i="66"/>
  <c r="J37" i="66"/>
  <c r="K36" i="66"/>
  <c r="J36" i="66"/>
  <c r="K35" i="66"/>
  <c r="J35" i="66"/>
  <c r="K34" i="66"/>
  <c r="J34" i="66"/>
  <c r="K33" i="66"/>
  <c r="J33" i="66"/>
  <c r="K32" i="66"/>
  <c r="J32" i="66"/>
  <c r="K31" i="66"/>
  <c r="J31" i="66"/>
  <c r="K30" i="66"/>
  <c r="J30" i="66"/>
  <c r="K29" i="66"/>
  <c r="J29" i="66"/>
  <c r="K28" i="66"/>
  <c r="J28" i="66"/>
  <c r="K27" i="66"/>
  <c r="J27" i="66"/>
  <c r="K26" i="66"/>
  <c r="J26" i="66"/>
  <c r="K25" i="66"/>
  <c r="J25" i="66"/>
  <c r="K24" i="66"/>
  <c r="J24" i="66"/>
  <c r="K23" i="66"/>
  <c r="J23" i="66"/>
  <c r="K22" i="66"/>
  <c r="J22" i="66"/>
  <c r="K21" i="66"/>
  <c r="J21" i="66"/>
  <c r="O18" i="66"/>
  <c r="N18" i="66"/>
  <c r="M18" i="66"/>
  <c r="L18" i="66"/>
  <c r="I18" i="66"/>
  <c r="H18" i="66"/>
  <c r="G18" i="66"/>
  <c r="G42" i="66"/>
  <c r="F18" i="66"/>
  <c r="E18" i="66"/>
  <c r="K17" i="66"/>
  <c r="J17" i="66"/>
  <c r="K16" i="66"/>
  <c r="J16" i="66"/>
  <c r="K15" i="66"/>
  <c r="J15" i="66"/>
  <c r="K14" i="66"/>
  <c r="J14" i="66"/>
  <c r="K13" i="66"/>
  <c r="J13" i="66"/>
  <c r="K12" i="66"/>
  <c r="J12" i="66"/>
  <c r="K10" i="66"/>
  <c r="J10" i="66"/>
  <c r="O8" i="66"/>
  <c r="N8" i="66"/>
  <c r="M8" i="66"/>
  <c r="L8" i="66"/>
  <c r="J8" i="66"/>
  <c r="G8" i="66"/>
  <c r="F8" i="66"/>
  <c r="E8" i="66"/>
  <c r="K7" i="66"/>
  <c r="J7" i="66"/>
  <c r="K6" i="66"/>
  <c r="J6" i="66"/>
  <c r="O52" i="65"/>
  <c r="N52" i="65"/>
  <c r="K50" i="65"/>
  <c r="H45" i="65"/>
  <c r="O41" i="65"/>
  <c r="O132" i="41"/>
  <c r="N41" i="65"/>
  <c r="N132" i="41"/>
  <c r="M41" i="65"/>
  <c r="M132" i="41"/>
  <c r="L41" i="65"/>
  <c r="L132" i="41"/>
  <c r="I41" i="65"/>
  <c r="H41" i="65"/>
  <c r="G41" i="65"/>
  <c r="F41" i="65"/>
  <c r="E41" i="65"/>
  <c r="K40" i="65"/>
  <c r="J40" i="65"/>
  <c r="K39" i="65"/>
  <c r="J39" i="65"/>
  <c r="K38" i="65"/>
  <c r="J38" i="65"/>
  <c r="K37" i="65"/>
  <c r="J37" i="65"/>
  <c r="K36" i="65"/>
  <c r="J36" i="65"/>
  <c r="K35" i="65"/>
  <c r="J35" i="65"/>
  <c r="K34" i="65"/>
  <c r="J34" i="65"/>
  <c r="K33" i="65"/>
  <c r="J33" i="65"/>
  <c r="K32" i="65"/>
  <c r="J32" i="65"/>
  <c r="K31" i="65"/>
  <c r="J31" i="65"/>
  <c r="K30" i="65"/>
  <c r="J30" i="65"/>
  <c r="K29" i="65"/>
  <c r="J29" i="65"/>
  <c r="K28" i="65"/>
  <c r="J28" i="65"/>
  <c r="K27" i="65"/>
  <c r="J27" i="65"/>
  <c r="K26" i="65"/>
  <c r="J26" i="65"/>
  <c r="K25" i="65"/>
  <c r="J25" i="65"/>
  <c r="K24" i="65"/>
  <c r="J24" i="65"/>
  <c r="K23" i="65"/>
  <c r="J23" i="65"/>
  <c r="K22" i="65"/>
  <c r="J22" i="65"/>
  <c r="K21" i="65"/>
  <c r="J21" i="65"/>
  <c r="O18" i="65"/>
  <c r="N18" i="65"/>
  <c r="M18" i="65"/>
  <c r="L18" i="65"/>
  <c r="L42" i="65"/>
  <c r="I18" i="65"/>
  <c r="H18" i="65"/>
  <c r="G18" i="65"/>
  <c r="F18" i="65"/>
  <c r="E18" i="65"/>
  <c r="K17" i="65"/>
  <c r="J17" i="65"/>
  <c r="K16" i="65"/>
  <c r="J16" i="65"/>
  <c r="K15" i="65"/>
  <c r="J15" i="65"/>
  <c r="K14" i="65"/>
  <c r="J14" i="65"/>
  <c r="K13" i="65"/>
  <c r="J13" i="65"/>
  <c r="K12" i="65"/>
  <c r="J12" i="65"/>
  <c r="K10" i="65"/>
  <c r="J10" i="65"/>
  <c r="O8" i="65"/>
  <c r="N8" i="65"/>
  <c r="M8" i="65"/>
  <c r="L8" i="65"/>
  <c r="G8" i="65"/>
  <c r="F8" i="65"/>
  <c r="E8" i="65"/>
  <c r="K7" i="65"/>
  <c r="J7" i="65"/>
  <c r="K6" i="65"/>
  <c r="J6" i="65"/>
  <c r="O56" i="64"/>
  <c r="N56" i="64"/>
  <c r="K54" i="64"/>
  <c r="J54" i="64"/>
  <c r="H49" i="64"/>
  <c r="N45" i="64"/>
  <c r="M45" i="64"/>
  <c r="L45" i="64"/>
  <c r="L127" i="41"/>
  <c r="I45" i="64"/>
  <c r="H45" i="64"/>
  <c r="G45" i="64"/>
  <c r="F45" i="64"/>
  <c r="E45" i="64"/>
  <c r="K44" i="64"/>
  <c r="J44" i="64"/>
  <c r="K43" i="64"/>
  <c r="J43" i="64"/>
  <c r="K42" i="64"/>
  <c r="J42" i="64"/>
  <c r="K41" i="64"/>
  <c r="J41" i="64"/>
  <c r="K40" i="64"/>
  <c r="J40" i="64"/>
  <c r="K39" i="64"/>
  <c r="J39" i="64"/>
  <c r="K38" i="64"/>
  <c r="J38" i="64"/>
  <c r="K37" i="64"/>
  <c r="J37" i="64"/>
  <c r="K36" i="64"/>
  <c r="J36" i="64"/>
  <c r="K35" i="64"/>
  <c r="J35" i="64"/>
  <c r="K34" i="64"/>
  <c r="J34" i="64"/>
  <c r="K33" i="64"/>
  <c r="J33" i="64"/>
  <c r="K32" i="64"/>
  <c r="J32" i="64"/>
  <c r="K31" i="64"/>
  <c r="J31" i="64"/>
  <c r="K30" i="64"/>
  <c r="J30" i="64"/>
  <c r="K29" i="64"/>
  <c r="J29" i="64"/>
  <c r="K28" i="64"/>
  <c r="J28" i="64"/>
  <c r="K27" i="64"/>
  <c r="J27" i="64"/>
  <c r="K26" i="64"/>
  <c r="J26" i="64"/>
  <c r="K25" i="64"/>
  <c r="J25" i="64"/>
  <c r="K24" i="64"/>
  <c r="J24" i="64"/>
  <c r="K23" i="64"/>
  <c r="J23" i="64"/>
  <c r="K22" i="64"/>
  <c r="J22" i="64"/>
  <c r="K21" i="64"/>
  <c r="J21" i="64"/>
  <c r="O18" i="64"/>
  <c r="N18" i="64"/>
  <c r="N46" i="64"/>
  <c r="M18" i="64"/>
  <c r="L18" i="64"/>
  <c r="I18" i="64"/>
  <c r="H18" i="64"/>
  <c r="G18" i="64"/>
  <c r="F18" i="64"/>
  <c r="E18" i="64"/>
  <c r="K17" i="64"/>
  <c r="J17" i="64"/>
  <c r="K16" i="64"/>
  <c r="J16" i="64"/>
  <c r="K15" i="64"/>
  <c r="J15" i="64"/>
  <c r="K14" i="64"/>
  <c r="J14" i="64"/>
  <c r="K13" i="64"/>
  <c r="J13" i="64"/>
  <c r="K12" i="64"/>
  <c r="J12" i="64"/>
  <c r="K10" i="64"/>
  <c r="J10" i="64"/>
  <c r="O8" i="64"/>
  <c r="N8" i="64"/>
  <c r="M8" i="64"/>
  <c r="L8" i="64"/>
  <c r="G8" i="64"/>
  <c r="F8" i="64"/>
  <c r="E8" i="64"/>
  <c r="K7" i="64"/>
  <c r="J7" i="64"/>
  <c r="K6" i="64"/>
  <c r="J6" i="64"/>
  <c r="K31" i="63"/>
  <c r="J31" i="63"/>
  <c r="K30" i="63"/>
  <c r="J30" i="63"/>
  <c r="K29" i="63"/>
  <c r="J29" i="63"/>
  <c r="K28" i="63"/>
  <c r="J28" i="63"/>
  <c r="K27" i="63"/>
  <c r="J27" i="63"/>
  <c r="K25" i="63"/>
  <c r="J25" i="63"/>
  <c r="K24" i="63"/>
  <c r="J24" i="63"/>
  <c r="K23" i="63"/>
  <c r="J23" i="63"/>
  <c r="K39" i="63"/>
  <c r="J39" i="63"/>
  <c r="K38" i="63"/>
  <c r="J38" i="63"/>
  <c r="K37" i="63"/>
  <c r="J37" i="63"/>
  <c r="K36" i="63"/>
  <c r="J36" i="63"/>
  <c r="K35" i="63"/>
  <c r="J35" i="63"/>
  <c r="K34" i="63"/>
  <c r="J34" i="63"/>
  <c r="K33" i="63"/>
  <c r="J33" i="63"/>
  <c r="K32" i="63"/>
  <c r="J32" i="63"/>
  <c r="O62" i="63"/>
  <c r="N62" i="63"/>
  <c r="K60" i="63"/>
  <c r="J60" i="63"/>
  <c r="H55" i="63"/>
  <c r="O51" i="63"/>
  <c r="O122" i="41"/>
  <c r="N51" i="63"/>
  <c r="M51" i="63"/>
  <c r="I51" i="63"/>
  <c r="H51" i="63"/>
  <c r="G51" i="63"/>
  <c r="F51" i="63"/>
  <c r="E51" i="63"/>
  <c r="K50" i="63"/>
  <c r="J50" i="63"/>
  <c r="K49" i="63"/>
  <c r="J49" i="63"/>
  <c r="K48" i="63"/>
  <c r="J48" i="63"/>
  <c r="K47" i="63"/>
  <c r="J47" i="63"/>
  <c r="K46" i="63"/>
  <c r="J46" i="63"/>
  <c r="K45" i="63"/>
  <c r="J45" i="63"/>
  <c r="K44" i="63"/>
  <c r="J44" i="63"/>
  <c r="K43" i="63"/>
  <c r="J43" i="63"/>
  <c r="K42" i="63"/>
  <c r="J42" i="63"/>
  <c r="K41" i="63"/>
  <c r="J41" i="63"/>
  <c r="K40" i="63"/>
  <c r="J40" i="63"/>
  <c r="K22" i="63"/>
  <c r="J22" i="63"/>
  <c r="K21" i="63"/>
  <c r="J21" i="63"/>
  <c r="O18" i="63"/>
  <c r="N18" i="63"/>
  <c r="M18" i="63"/>
  <c r="L18" i="63"/>
  <c r="L52" i="63"/>
  <c r="I18" i="63"/>
  <c r="H18" i="63"/>
  <c r="G18" i="63"/>
  <c r="F18" i="63"/>
  <c r="E18" i="63"/>
  <c r="K17" i="63"/>
  <c r="J17" i="63"/>
  <c r="K16" i="63"/>
  <c r="J16" i="63"/>
  <c r="K15" i="63"/>
  <c r="J15" i="63"/>
  <c r="K14" i="63"/>
  <c r="J14" i="63"/>
  <c r="K13" i="63"/>
  <c r="J13" i="63"/>
  <c r="K12" i="63"/>
  <c r="J12" i="63"/>
  <c r="K10" i="63"/>
  <c r="J10" i="63"/>
  <c r="O8" i="63"/>
  <c r="N8" i="63"/>
  <c r="M8" i="63"/>
  <c r="L8" i="63"/>
  <c r="K8" i="63"/>
  <c r="G8" i="63"/>
  <c r="F8" i="63"/>
  <c r="E8" i="63"/>
  <c r="K7" i="63"/>
  <c r="J7" i="63"/>
  <c r="K6" i="63"/>
  <c r="J6" i="63"/>
  <c r="K27" i="62"/>
  <c r="J27" i="62"/>
  <c r="K26" i="62"/>
  <c r="J26" i="62"/>
  <c r="K25" i="62"/>
  <c r="J25" i="62"/>
  <c r="K24" i="62"/>
  <c r="J24" i="62"/>
  <c r="K23" i="62"/>
  <c r="J23" i="62"/>
  <c r="O50" i="62"/>
  <c r="N50" i="62"/>
  <c r="K48" i="62"/>
  <c r="J48" i="62"/>
  <c r="H43" i="62"/>
  <c r="O39" i="62"/>
  <c r="N39" i="62"/>
  <c r="M39" i="62"/>
  <c r="L39" i="62"/>
  <c r="I39" i="62"/>
  <c r="J39" i="62"/>
  <c r="H39" i="62"/>
  <c r="G39" i="62"/>
  <c r="F39" i="62"/>
  <c r="E39" i="62"/>
  <c r="K38" i="62"/>
  <c r="J38" i="62"/>
  <c r="K37" i="62"/>
  <c r="J37" i="62"/>
  <c r="K36" i="62"/>
  <c r="J36" i="62"/>
  <c r="K35" i="62"/>
  <c r="J35" i="62"/>
  <c r="K34" i="62"/>
  <c r="J34" i="62"/>
  <c r="K33" i="62"/>
  <c r="J33" i="62"/>
  <c r="K32" i="62"/>
  <c r="J32" i="62"/>
  <c r="K31" i="62"/>
  <c r="J31" i="62"/>
  <c r="K30" i="62"/>
  <c r="J30" i="62"/>
  <c r="K29" i="62"/>
  <c r="J29" i="62"/>
  <c r="K28" i="62"/>
  <c r="J28" i="62"/>
  <c r="K22" i="62"/>
  <c r="J22" i="62"/>
  <c r="K21" i="62"/>
  <c r="J21" i="62"/>
  <c r="O18" i="62"/>
  <c r="N18" i="62"/>
  <c r="N40" i="62"/>
  <c r="M18" i="62"/>
  <c r="M40" i="62"/>
  <c r="L18" i="62"/>
  <c r="I18" i="62"/>
  <c r="K18" i="62"/>
  <c r="H18" i="62"/>
  <c r="H40" i="62"/>
  <c r="H44" i="62"/>
  <c r="G18" i="62"/>
  <c r="F18" i="62"/>
  <c r="E18" i="62"/>
  <c r="K17" i="62"/>
  <c r="J17" i="62"/>
  <c r="K16" i="62"/>
  <c r="J16" i="62"/>
  <c r="K15" i="62"/>
  <c r="J15" i="62"/>
  <c r="K14" i="62"/>
  <c r="J14" i="62"/>
  <c r="K13" i="62"/>
  <c r="J13" i="62"/>
  <c r="K12" i="62"/>
  <c r="J12" i="62"/>
  <c r="K10" i="62"/>
  <c r="J10" i="62"/>
  <c r="O8" i="62"/>
  <c r="N8" i="62"/>
  <c r="M8" i="62"/>
  <c r="L8" i="62"/>
  <c r="I8" i="62"/>
  <c r="K8" i="62"/>
  <c r="H8" i="62"/>
  <c r="G8" i="62"/>
  <c r="F8" i="62"/>
  <c r="E8" i="62"/>
  <c r="K7" i="62"/>
  <c r="J7" i="62"/>
  <c r="K6" i="62"/>
  <c r="J6" i="62"/>
  <c r="O45" i="61"/>
  <c r="N45" i="61"/>
  <c r="K43" i="61"/>
  <c r="J43" i="61"/>
  <c r="H38" i="61"/>
  <c r="N34" i="61"/>
  <c r="M34" i="61"/>
  <c r="I34" i="61"/>
  <c r="H34" i="61"/>
  <c r="G34" i="61"/>
  <c r="F34" i="61"/>
  <c r="E34" i="61"/>
  <c r="K33" i="61"/>
  <c r="J33" i="61"/>
  <c r="K32" i="61"/>
  <c r="J32" i="61"/>
  <c r="K31" i="61"/>
  <c r="J31" i="61"/>
  <c r="K30" i="61"/>
  <c r="J30" i="61"/>
  <c r="K29" i="61"/>
  <c r="J29" i="61"/>
  <c r="K28" i="61"/>
  <c r="J28" i="61"/>
  <c r="K27" i="61"/>
  <c r="J27" i="61"/>
  <c r="K26" i="61"/>
  <c r="J26" i="61"/>
  <c r="K25" i="61"/>
  <c r="J25" i="61"/>
  <c r="K24" i="61"/>
  <c r="J24" i="61"/>
  <c r="K23" i="61"/>
  <c r="J23" i="61"/>
  <c r="K22" i="61"/>
  <c r="J22" i="61"/>
  <c r="K21" i="61"/>
  <c r="J21" i="61"/>
  <c r="O18" i="61"/>
  <c r="O35" i="61"/>
  <c r="N18" i="61"/>
  <c r="N35" i="61"/>
  <c r="M18" i="61"/>
  <c r="M35" i="61"/>
  <c r="L18" i="61"/>
  <c r="L35" i="61"/>
  <c r="I18" i="61"/>
  <c r="H18" i="61"/>
  <c r="G18" i="61"/>
  <c r="F18" i="61"/>
  <c r="E18" i="61"/>
  <c r="K17" i="61"/>
  <c r="J17" i="61"/>
  <c r="K16" i="61"/>
  <c r="J16" i="61"/>
  <c r="K15" i="61"/>
  <c r="J15" i="61"/>
  <c r="K14" i="61"/>
  <c r="J14" i="61"/>
  <c r="K13" i="61"/>
  <c r="J13" i="61"/>
  <c r="K12" i="61"/>
  <c r="J12" i="61"/>
  <c r="K10" i="61"/>
  <c r="J10" i="61"/>
  <c r="O8" i="61"/>
  <c r="N8" i="61"/>
  <c r="M8" i="61"/>
  <c r="L8" i="61"/>
  <c r="G8" i="61"/>
  <c r="F8" i="61"/>
  <c r="E8" i="61"/>
  <c r="K7" i="61"/>
  <c r="J7" i="61"/>
  <c r="K6" i="61"/>
  <c r="J6" i="61"/>
  <c r="K25" i="60"/>
  <c r="J25" i="60"/>
  <c r="K23" i="60"/>
  <c r="J23" i="60"/>
  <c r="K22" i="60"/>
  <c r="J22" i="60"/>
  <c r="K21" i="60"/>
  <c r="J21" i="60"/>
  <c r="O55" i="60"/>
  <c r="N55" i="60"/>
  <c r="K53" i="60"/>
  <c r="J53" i="60"/>
  <c r="H48" i="60"/>
  <c r="O44" i="60"/>
  <c r="O107" i="41"/>
  <c r="N44" i="60"/>
  <c r="N107" i="41"/>
  <c r="M44" i="60"/>
  <c r="M107" i="41"/>
  <c r="L44" i="60"/>
  <c r="L107" i="41"/>
  <c r="I44" i="60"/>
  <c r="H44" i="60"/>
  <c r="G44" i="60"/>
  <c r="G107" i="41"/>
  <c r="G108" i="41"/>
  <c r="F44" i="60"/>
  <c r="F107" i="41"/>
  <c r="E44" i="60"/>
  <c r="E107" i="41"/>
  <c r="K43" i="60"/>
  <c r="J43" i="60"/>
  <c r="K42" i="60"/>
  <c r="J42" i="60"/>
  <c r="K41" i="60"/>
  <c r="J41" i="60"/>
  <c r="K40" i="60"/>
  <c r="J40" i="60"/>
  <c r="K39" i="60"/>
  <c r="J39" i="60"/>
  <c r="K38" i="60"/>
  <c r="J38" i="60"/>
  <c r="K37" i="60"/>
  <c r="J37" i="60"/>
  <c r="K36" i="60"/>
  <c r="J36" i="60"/>
  <c r="K35" i="60"/>
  <c r="J35" i="60"/>
  <c r="K34" i="60"/>
  <c r="J34" i="60"/>
  <c r="K33" i="60"/>
  <c r="J33" i="60"/>
  <c r="K32" i="60"/>
  <c r="J32" i="60"/>
  <c r="K31" i="60"/>
  <c r="J31" i="60"/>
  <c r="K30" i="60"/>
  <c r="J30" i="60"/>
  <c r="K28" i="60"/>
  <c r="J28" i="60"/>
  <c r="K27" i="60"/>
  <c r="J27" i="60"/>
  <c r="K26" i="60"/>
  <c r="J26" i="60"/>
  <c r="K20" i="60"/>
  <c r="J20" i="60"/>
  <c r="K19" i="60"/>
  <c r="J19" i="60"/>
  <c r="K18" i="60"/>
  <c r="J18" i="60"/>
  <c r="O15" i="60"/>
  <c r="N15" i="60"/>
  <c r="N106" i="41"/>
  <c r="M15" i="60"/>
  <c r="M106" i="41"/>
  <c r="L15" i="60"/>
  <c r="L106" i="41"/>
  <c r="I15" i="60"/>
  <c r="H15" i="60"/>
  <c r="G15" i="60"/>
  <c r="G106" i="41"/>
  <c r="F15" i="60"/>
  <c r="F106" i="41"/>
  <c r="E15" i="60"/>
  <c r="E106" i="41"/>
  <c r="K14" i="60"/>
  <c r="J14" i="60"/>
  <c r="K13" i="60"/>
  <c r="J13" i="60"/>
  <c r="K12" i="60"/>
  <c r="J12" i="60"/>
  <c r="K10" i="60"/>
  <c r="J10" i="60"/>
  <c r="O8" i="60"/>
  <c r="O105" i="41"/>
  <c r="N8" i="60"/>
  <c r="N105" i="41"/>
  <c r="M8" i="60"/>
  <c r="M105" i="41"/>
  <c r="L8" i="60"/>
  <c r="L105" i="41"/>
  <c r="G8" i="60"/>
  <c r="G105" i="41"/>
  <c r="F8" i="60"/>
  <c r="F105" i="41"/>
  <c r="E8" i="60"/>
  <c r="E105" i="41"/>
  <c r="K7" i="60"/>
  <c r="J7" i="60"/>
  <c r="K6" i="60"/>
  <c r="J6" i="60"/>
  <c r="O52" i="59"/>
  <c r="N52" i="59"/>
  <c r="K50" i="59"/>
  <c r="J50" i="59"/>
  <c r="H45" i="59"/>
  <c r="M42" i="59"/>
  <c r="L42" i="59"/>
  <c r="M41" i="59"/>
  <c r="I41" i="59"/>
  <c r="H41" i="59"/>
  <c r="G41" i="59"/>
  <c r="F41" i="59"/>
  <c r="E41" i="59"/>
  <c r="E42" i="59"/>
  <c r="K40" i="59"/>
  <c r="J40" i="59"/>
  <c r="K39" i="59"/>
  <c r="J39" i="59"/>
  <c r="K38" i="59"/>
  <c r="J38" i="59"/>
  <c r="K37" i="59"/>
  <c r="J37" i="59"/>
  <c r="K36" i="59"/>
  <c r="J36" i="59"/>
  <c r="K35" i="59"/>
  <c r="J35" i="59"/>
  <c r="K34" i="59"/>
  <c r="J34" i="59"/>
  <c r="K33" i="59"/>
  <c r="J33" i="59"/>
  <c r="K32" i="59"/>
  <c r="J32" i="59"/>
  <c r="K31" i="59"/>
  <c r="J31" i="59"/>
  <c r="K30" i="59"/>
  <c r="J30" i="59"/>
  <c r="K29" i="59"/>
  <c r="J29" i="59"/>
  <c r="K28" i="59"/>
  <c r="J28" i="59"/>
  <c r="K27" i="59"/>
  <c r="J27" i="59"/>
  <c r="K26" i="59"/>
  <c r="J26" i="59"/>
  <c r="K25" i="59"/>
  <c r="J25" i="59"/>
  <c r="K24" i="59"/>
  <c r="J24" i="59"/>
  <c r="K23" i="59"/>
  <c r="J23" i="59"/>
  <c r="K22" i="59"/>
  <c r="J22" i="59"/>
  <c r="K21" i="59"/>
  <c r="J21" i="59"/>
  <c r="O18" i="59"/>
  <c r="O42" i="59"/>
  <c r="N18" i="59"/>
  <c r="N42" i="59"/>
  <c r="M18" i="59"/>
  <c r="L18" i="59"/>
  <c r="I18" i="59"/>
  <c r="H18" i="59"/>
  <c r="G18" i="59"/>
  <c r="F18" i="59"/>
  <c r="E18" i="59"/>
  <c r="K17" i="59"/>
  <c r="J17" i="59"/>
  <c r="K16" i="59"/>
  <c r="J16" i="59"/>
  <c r="K15" i="59"/>
  <c r="J15" i="59"/>
  <c r="K14" i="59"/>
  <c r="J14" i="59"/>
  <c r="K13" i="59"/>
  <c r="J13" i="59"/>
  <c r="K12" i="59"/>
  <c r="J12" i="59"/>
  <c r="K10" i="59"/>
  <c r="J10" i="59"/>
  <c r="O8" i="59"/>
  <c r="N8" i="59"/>
  <c r="M8" i="59"/>
  <c r="L8" i="59"/>
  <c r="G8" i="59"/>
  <c r="F8" i="59"/>
  <c r="E8" i="59"/>
  <c r="K7" i="59"/>
  <c r="J7" i="59"/>
  <c r="K6" i="59"/>
  <c r="J6" i="59"/>
  <c r="K25" i="58"/>
  <c r="J25" i="58"/>
  <c r="K24" i="58"/>
  <c r="J24" i="58"/>
  <c r="K23" i="58"/>
  <c r="J23" i="58"/>
  <c r="O51" i="58"/>
  <c r="N51" i="58"/>
  <c r="K49" i="58"/>
  <c r="J49" i="58"/>
  <c r="H44" i="58"/>
  <c r="O40" i="58"/>
  <c r="O97" i="41"/>
  <c r="N40" i="58"/>
  <c r="N97" i="41"/>
  <c r="M40" i="58"/>
  <c r="M97" i="41"/>
  <c r="L40" i="58"/>
  <c r="L97" i="41"/>
  <c r="I40" i="58"/>
  <c r="H40" i="58"/>
  <c r="G40" i="58"/>
  <c r="G97" i="41"/>
  <c r="G98" i="41"/>
  <c r="F40" i="58"/>
  <c r="F97" i="41"/>
  <c r="F98" i="41"/>
  <c r="E40" i="58"/>
  <c r="E97" i="41"/>
  <c r="K39" i="58"/>
  <c r="J39" i="58"/>
  <c r="K38" i="58"/>
  <c r="J38" i="58"/>
  <c r="K37" i="58"/>
  <c r="J37" i="58"/>
  <c r="K36" i="58"/>
  <c r="J36" i="58"/>
  <c r="K35" i="58"/>
  <c r="J35" i="58"/>
  <c r="K34" i="58"/>
  <c r="J34" i="58"/>
  <c r="K33" i="58"/>
  <c r="J33" i="58"/>
  <c r="K32" i="58"/>
  <c r="J32" i="58"/>
  <c r="K31" i="58"/>
  <c r="J31" i="58"/>
  <c r="K30" i="58"/>
  <c r="J30" i="58"/>
  <c r="K29" i="58"/>
  <c r="J29" i="58"/>
  <c r="K28" i="58"/>
  <c r="J28" i="58"/>
  <c r="K27" i="58"/>
  <c r="J27" i="58"/>
  <c r="K26" i="58"/>
  <c r="J26" i="58"/>
  <c r="K22" i="58"/>
  <c r="J22" i="58"/>
  <c r="K21" i="58"/>
  <c r="J21" i="58"/>
  <c r="O18" i="58"/>
  <c r="N18" i="58"/>
  <c r="M18" i="58"/>
  <c r="L18" i="58"/>
  <c r="L96" i="41"/>
  <c r="I18" i="58"/>
  <c r="H18" i="58"/>
  <c r="G18" i="58"/>
  <c r="G96" i="41"/>
  <c r="F18" i="58"/>
  <c r="E18" i="58"/>
  <c r="E96" i="41"/>
  <c r="E98" i="41"/>
  <c r="K17" i="58"/>
  <c r="J17" i="58"/>
  <c r="K16" i="58"/>
  <c r="J16" i="58"/>
  <c r="K15" i="58"/>
  <c r="J15" i="58"/>
  <c r="K14" i="58"/>
  <c r="J14" i="58"/>
  <c r="K13" i="58"/>
  <c r="J13" i="58"/>
  <c r="K12" i="58"/>
  <c r="J12" i="58"/>
  <c r="K10" i="58"/>
  <c r="J10" i="58"/>
  <c r="O8" i="58"/>
  <c r="O95" i="41"/>
  <c r="N8" i="58"/>
  <c r="N95" i="41"/>
  <c r="M8" i="58"/>
  <c r="M95" i="41"/>
  <c r="L8" i="58"/>
  <c r="L95" i="41"/>
  <c r="G8" i="58"/>
  <c r="G95" i="41"/>
  <c r="F8" i="58"/>
  <c r="F95" i="41"/>
  <c r="E8" i="58"/>
  <c r="E95" i="41"/>
  <c r="K7" i="58"/>
  <c r="J7" i="58"/>
  <c r="K6" i="58"/>
  <c r="J6" i="58"/>
  <c r="K27" i="57"/>
  <c r="J27" i="57"/>
  <c r="K26" i="57"/>
  <c r="J26" i="57"/>
  <c r="K25" i="57"/>
  <c r="J25" i="57"/>
  <c r="K24" i="57"/>
  <c r="J24" i="57"/>
  <c r="K23" i="57"/>
  <c r="J23" i="57"/>
  <c r="K22" i="57"/>
  <c r="J22" i="57"/>
  <c r="K30" i="57"/>
  <c r="J30" i="57"/>
  <c r="K29" i="57"/>
  <c r="J29" i="57"/>
  <c r="K28" i="57"/>
  <c r="J28" i="57"/>
  <c r="K33" i="57"/>
  <c r="J33" i="57"/>
  <c r="K32" i="57"/>
  <c r="J32" i="57"/>
  <c r="K31" i="57"/>
  <c r="J31" i="57"/>
  <c r="O49" i="57"/>
  <c r="N49" i="57"/>
  <c r="K47" i="57"/>
  <c r="J47" i="57"/>
  <c r="H42" i="57"/>
  <c r="O38" i="57"/>
  <c r="N38" i="57"/>
  <c r="M38" i="57"/>
  <c r="L38" i="57"/>
  <c r="I38" i="57"/>
  <c r="J38" i="57"/>
  <c r="H38" i="57"/>
  <c r="G38" i="57"/>
  <c r="F38" i="57"/>
  <c r="E38" i="57"/>
  <c r="K37" i="57"/>
  <c r="J37" i="57"/>
  <c r="K36" i="57"/>
  <c r="J36" i="57"/>
  <c r="K35" i="57"/>
  <c r="J35" i="57"/>
  <c r="K34" i="57"/>
  <c r="J34" i="57"/>
  <c r="K21" i="57"/>
  <c r="J21" i="57"/>
  <c r="O18" i="57"/>
  <c r="O39" i="57"/>
  <c r="N18" i="57"/>
  <c r="N39" i="57"/>
  <c r="M18" i="57"/>
  <c r="L18" i="57"/>
  <c r="I18" i="57"/>
  <c r="K18" i="57"/>
  <c r="H18" i="57"/>
  <c r="G18" i="57"/>
  <c r="F18" i="57"/>
  <c r="E18" i="57"/>
  <c r="K17" i="57"/>
  <c r="J17" i="57"/>
  <c r="K16" i="57"/>
  <c r="J16" i="57"/>
  <c r="K15" i="57"/>
  <c r="J15" i="57"/>
  <c r="K14" i="57"/>
  <c r="J14" i="57"/>
  <c r="K13" i="57"/>
  <c r="J13" i="57"/>
  <c r="K12" i="57"/>
  <c r="J12" i="57"/>
  <c r="K10" i="57"/>
  <c r="J10" i="57"/>
  <c r="O8" i="57"/>
  <c r="N8" i="57"/>
  <c r="M8" i="57"/>
  <c r="L8" i="57"/>
  <c r="I8" i="57"/>
  <c r="K8" i="57"/>
  <c r="H8" i="57"/>
  <c r="G8" i="57"/>
  <c r="F8" i="57"/>
  <c r="E8" i="57"/>
  <c r="K7" i="57"/>
  <c r="J7" i="57"/>
  <c r="K6" i="57"/>
  <c r="J6" i="57"/>
  <c r="E37" i="55"/>
  <c r="F51" i="56"/>
  <c r="G51" i="56"/>
  <c r="H51" i="56"/>
  <c r="I51" i="56"/>
  <c r="E51" i="56"/>
  <c r="K29" i="56"/>
  <c r="J29" i="56"/>
  <c r="K28" i="56"/>
  <c r="J28" i="56"/>
  <c r="K27" i="56"/>
  <c r="J27" i="56"/>
  <c r="K26" i="56"/>
  <c r="J26" i="56"/>
  <c r="K25" i="56"/>
  <c r="J25" i="56"/>
  <c r="K24" i="56"/>
  <c r="J24" i="56"/>
  <c r="K23" i="56"/>
  <c r="J23" i="56"/>
  <c r="K39" i="56"/>
  <c r="J39" i="56"/>
  <c r="K38" i="56"/>
  <c r="J38" i="56"/>
  <c r="K37" i="56"/>
  <c r="J37" i="56"/>
  <c r="K36" i="56"/>
  <c r="J36" i="56"/>
  <c r="K35" i="56"/>
  <c r="J35" i="56"/>
  <c r="K34" i="56"/>
  <c r="J34" i="56"/>
  <c r="K33" i="56"/>
  <c r="J33" i="56"/>
  <c r="K32" i="56"/>
  <c r="J32" i="56"/>
  <c r="K31" i="56"/>
  <c r="J31" i="56"/>
  <c r="K30" i="56"/>
  <c r="J30" i="56"/>
  <c r="K22" i="56"/>
  <c r="J22" i="56"/>
  <c r="K21" i="56"/>
  <c r="J21" i="56"/>
  <c r="O62" i="56"/>
  <c r="N62" i="56"/>
  <c r="K60" i="56"/>
  <c r="J60" i="56"/>
  <c r="H55" i="56"/>
  <c r="N87" i="41"/>
  <c r="K50" i="56"/>
  <c r="J50" i="56"/>
  <c r="K49" i="56"/>
  <c r="J49" i="56"/>
  <c r="K48" i="56"/>
  <c r="J48" i="56"/>
  <c r="K47" i="56"/>
  <c r="J47" i="56"/>
  <c r="K46" i="56"/>
  <c r="J46" i="56"/>
  <c r="K45" i="56"/>
  <c r="J45" i="56"/>
  <c r="K44" i="56"/>
  <c r="J44" i="56"/>
  <c r="K43" i="56"/>
  <c r="J43" i="56"/>
  <c r="K42" i="56"/>
  <c r="J42" i="56"/>
  <c r="K41" i="56"/>
  <c r="J41" i="56"/>
  <c r="K40" i="56"/>
  <c r="J40" i="56"/>
  <c r="N18" i="56"/>
  <c r="M18" i="56"/>
  <c r="L18" i="56"/>
  <c r="L52" i="56"/>
  <c r="I18" i="56"/>
  <c r="H18" i="56"/>
  <c r="G18" i="56"/>
  <c r="F18" i="56"/>
  <c r="E18" i="56"/>
  <c r="K17" i="56"/>
  <c r="J17" i="56"/>
  <c r="K16" i="56"/>
  <c r="J16" i="56"/>
  <c r="K15" i="56"/>
  <c r="J15" i="56"/>
  <c r="K14" i="56"/>
  <c r="J14" i="56"/>
  <c r="K13" i="56"/>
  <c r="J13" i="56"/>
  <c r="K12" i="56"/>
  <c r="J12" i="56"/>
  <c r="K10" i="56"/>
  <c r="J10" i="56"/>
  <c r="O8" i="56"/>
  <c r="N8" i="56"/>
  <c r="M8" i="56"/>
  <c r="L8" i="56"/>
  <c r="G8" i="56"/>
  <c r="F8" i="56"/>
  <c r="E8" i="56"/>
  <c r="K7" i="56"/>
  <c r="J7" i="56"/>
  <c r="K6" i="56"/>
  <c r="J6" i="56"/>
  <c r="O48" i="55"/>
  <c r="N48" i="55"/>
  <c r="K46" i="55"/>
  <c r="J46" i="55"/>
  <c r="H41" i="55"/>
  <c r="M38" i="55"/>
  <c r="L38" i="55"/>
  <c r="N37" i="55"/>
  <c r="M37" i="55"/>
  <c r="I37" i="55"/>
  <c r="H37" i="55"/>
  <c r="G37" i="55"/>
  <c r="F37" i="55"/>
  <c r="E38" i="55"/>
  <c r="K36" i="55"/>
  <c r="J36" i="55"/>
  <c r="K35" i="55"/>
  <c r="J35" i="55"/>
  <c r="K34" i="55"/>
  <c r="J34" i="55"/>
  <c r="K33" i="55"/>
  <c r="J33" i="55"/>
  <c r="K32" i="55"/>
  <c r="J32" i="55"/>
  <c r="K31" i="55"/>
  <c r="J31" i="55"/>
  <c r="K30" i="55"/>
  <c r="J30" i="55"/>
  <c r="K29" i="55"/>
  <c r="J29" i="55"/>
  <c r="K28" i="55"/>
  <c r="J28" i="55"/>
  <c r="K27" i="55"/>
  <c r="J27" i="55"/>
  <c r="K26" i="55"/>
  <c r="J26" i="55"/>
  <c r="K25" i="55"/>
  <c r="J25" i="55"/>
  <c r="K24" i="55"/>
  <c r="J24" i="55"/>
  <c r="K23" i="55"/>
  <c r="J23" i="55"/>
  <c r="K22" i="55"/>
  <c r="J22" i="55"/>
  <c r="K21" i="55"/>
  <c r="J21" i="55"/>
  <c r="O18" i="55"/>
  <c r="O38" i="55"/>
  <c r="N18" i="55"/>
  <c r="N38" i="55"/>
  <c r="M18" i="55"/>
  <c r="L18" i="55"/>
  <c r="I18" i="55"/>
  <c r="H18" i="55"/>
  <c r="G18" i="55"/>
  <c r="F18" i="55"/>
  <c r="E18" i="55"/>
  <c r="K17" i="55"/>
  <c r="J17" i="55"/>
  <c r="K16" i="55"/>
  <c r="J16" i="55"/>
  <c r="K15" i="55"/>
  <c r="J15" i="55"/>
  <c r="K14" i="55"/>
  <c r="J14" i="55"/>
  <c r="K13" i="55"/>
  <c r="J13" i="55"/>
  <c r="K12" i="55"/>
  <c r="J12" i="55"/>
  <c r="K10" i="55"/>
  <c r="J10" i="55"/>
  <c r="O8" i="55"/>
  <c r="N8" i="55"/>
  <c r="M8" i="55"/>
  <c r="L8" i="55"/>
  <c r="K8" i="55"/>
  <c r="J8" i="55"/>
  <c r="G8" i="55"/>
  <c r="F8" i="55"/>
  <c r="E8" i="55"/>
  <c r="K7" i="55"/>
  <c r="J7" i="55"/>
  <c r="K6" i="55"/>
  <c r="J6" i="55"/>
  <c r="K30" i="54"/>
  <c r="J30" i="54"/>
  <c r="K29" i="54"/>
  <c r="J29" i="54"/>
  <c r="K28" i="54"/>
  <c r="J28" i="54"/>
  <c r="K27" i="54"/>
  <c r="J27" i="54"/>
  <c r="K26" i="54"/>
  <c r="J26" i="54"/>
  <c r="K35" i="54"/>
  <c r="J35" i="54"/>
  <c r="K34" i="54"/>
  <c r="J34" i="54"/>
  <c r="K33" i="54"/>
  <c r="J33" i="54"/>
  <c r="K32" i="54"/>
  <c r="J32" i="54"/>
  <c r="O57" i="54"/>
  <c r="N57" i="54"/>
  <c r="K55" i="54"/>
  <c r="J55" i="54"/>
  <c r="H50" i="54"/>
  <c r="O46" i="54"/>
  <c r="O77" i="41"/>
  <c r="N46" i="54"/>
  <c r="N47" i="54"/>
  <c r="M46" i="54"/>
  <c r="L46" i="54"/>
  <c r="L77" i="41"/>
  <c r="I46" i="54"/>
  <c r="H46" i="54"/>
  <c r="G46" i="54"/>
  <c r="F46" i="54"/>
  <c r="F47" i="54"/>
  <c r="E46" i="54"/>
  <c r="K45" i="54"/>
  <c r="J45" i="54"/>
  <c r="K44" i="54"/>
  <c r="J44" i="54"/>
  <c r="K43" i="54"/>
  <c r="J43" i="54"/>
  <c r="K42" i="54"/>
  <c r="J42" i="54"/>
  <c r="K41" i="54"/>
  <c r="J41" i="54"/>
  <c r="K40" i="54"/>
  <c r="J40" i="54"/>
  <c r="K39" i="54"/>
  <c r="J39" i="54"/>
  <c r="K38" i="54"/>
  <c r="J38" i="54"/>
  <c r="K37" i="54"/>
  <c r="J37" i="54"/>
  <c r="K36" i="54"/>
  <c r="J36" i="54"/>
  <c r="K31" i="54"/>
  <c r="J31" i="54"/>
  <c r="K25" i="54"/>
  <c r="J25" i="54"/>
  <c r="K24" i="54"/>
  <c r="J24" i="54"/>
  <c r="K23" i="54"/>
  <c r="J23" i="54"/>
  <c r="K22" i="54"/>
  <c r="J22" i="54"/>
  <c r="K21" i="54"/>
  <c r="J21" i="54"/>
  <c r="O18" i="54"/>
  <c r="N18" i="54"/>
  <c r="M18" i="54"/>
  <c r="M47" i="54"/>
  <c r="L18" i="54"/>
  <c r="I18" i="54"/>
  <c r="H18" i="54"/>
  <c r="G18" i="54"/>
  <c r="F18" i="54"/>
  <c r="E18" i="54"/>
  <c r="K17" i="54"/>
  <c r="J17" i="54"/>
  <c r="K16" i="54"/>
  <c r="J16" i="54"/>
  <c r="K15" i="54"/>
  <c r="J15" i="54"/>
  <c r="K14" i="54"/>
  <c r="J14" i="54"/>
  <c r="K13" i="54"/>
  <c r="J13" i="54"/>
  <c r="K12" i="54"/>
  <c r="J12" i="54"/>
  <c r="K10" i="54"/>
  <c r="J10" i="54"/>
  <c r="O8" i="54"/>
  <c r="N8" i="54"/>
  <c r="M8" i="54"/>
  <c r="L8" i="54"/>
  <c r="G8" i="54"/>
  <c r="G75" i="41"/>
  <c r="F8" i="54"/>
  <c r="E8" i="54"/>
  <c r="K7" i="54"/>
  <c r="J7" i="54"/>
  <c r="K6" i="54"/>
  <c r="J6" i="54"/>
  <c r="K27" i="53"/>
  <c r="J27" i="53"/>
  <c r="K26" i="53"/>
  <c r="J26" i="53"/>
  <c r="K24" i="53"/>
  <c r="J24" i="53"/>
  <c r="K18" i="59"/>
  <c r="I42" i="59"/>
  <c r="I38" i="55"/>
  <c r="N42" i="65"/>
  <c r="O47" i="54"/>
  <c r="L47" i="54"/>
  <c r="J18" i="54"/>
  <c r="K18" i="54"/>
  <c r="O42" i="66"/>
  <c r="K18" i="63"/>
  <c r="J106" i="41"/>
  <c r="L46" i="64"/>
  <c r="O42" i="65"/>
  <c r="O42" i="68"/>
  <c r="L42" i="66"/>
  <c r="I42" i="66"/>
  <c r="K18" i="66"/>
  <c r="J18" i="66"/>
  <c r="N52" i="56"/>
  <c r="H42" i="65"/>
  <c r="H46" i="65"/>
  <c r="K18" i="64"/>
  <c r="H42" i="68"/>
  <c r="H46" i="68"/>
  <c r="H42" i="66"/>
  <c r="H46" i="66"/>
  <c r="J41" i="65"/>
  <c r="H52" i="63"/>
  <c r="H56" i="63"/>
  <c r="K18" i="56"/>
  <c r="G43" i="67"/>
  <c r="G141" i="41"/>
  <c r="I43" i="67"/>
  <c r="K18" i="67"/>
  <c r="J141" i="41"/>
  <c r="L43" i="67"/>
  <c r="L143" i="41"/>
  <c r="M43" i="67"/>
  <c r="M141" i="41"/>
  <c r="N43" i="67"/>
  <c r="N141" i="41"/>
  <c r="N143" i="41"/>
  <c r="O43" i="67"/>
  <c r="O141" i="41"/>
  <c r="O143" i="41"/>
  <c r="H43" i="67"/>
  <c r="H47" i="67"/>
  <c r="K42" i="67"/>
  <c r="J42" i="67"/>
  <c r="K41" i="59"/>
  <c r="J18" i="59"/>
  <c r="H42" i="59"/>
  <c r="H46" i="59"/>
  <c r="H35" i="61"/>
  <c r="H39" i="61"/>
  <c r="H38" i="55"/>
  <c r="H42" i="55"/>
  <c r="J18" i="55"/>
  <c r="K18" i="55"/>
  <c r="O45" i="60"/>
  <c r="O106" i="41"/>
  <c r="K8" i="60"/>
  <c r="L45" i="60"/>
  <c r="J15" i="60"/>
  <c r="M45" i="60"/>
  <c r="K15" i="60"/>
  <c r="H45" i="60"/>
  <c r="H49" i="60"/>
  <c r="J44" i="60"/>
  <c r="H41" i="58"/>
  <c r="H45" i="58"/>
  <c r="K18" i="58"/>
  <c r="N41" i="58"/>
  <c r="N96" i="41"/>
  <c r="N98" i="41"/>
  <c r="O41" i="58"/>
  <c r="O96" i="41"/>
  <c r="O98" i="41"/>
  <c r="F41" i="58"/>
  <c r="F96" i="41"/>
  <c r="J110" i="41"/>
  <c r="J127" i="41"/>
  <c r="J55" i="41"/>
  <c r="J140" i="41"/>
  <c r="J146" i="41"/>
  <c r="K8" i="68"/>
  <c r="J8" i="68"/>
  <c r="K8" i="66"/>
  <c r="K8" i="65"/>
  <c r="K8" i="64"/>
  <c r="J8" i="63"/>
  <c r="J8" i="60"/>
  <c r="K8" i="58"/>
  <c r="J8" i="58"/>
  <c r="J8" i="56"/>
  <c r="K8" i="59"/>
  <c r="J8" i="59"/>
  <c r="K8" i="67"/>
  <c r="K8" i="54"/>
  <c r="J135" i="41"/>
  <c r="J92" i="41"/>
  <c r="J132" i="41"/>
  <c r="J136" i="41"/>
  <c r="J81" i="41"/>
  <c r="J116" i="41"/>
  <c r="J95" i="41"/>
  <c r="J86" i="41"/>
  <c r="J126" i="41"/>
  <c r="J100" i="41"/>
  <c r="J70" i="41"/>
  <c r="J125" i="41"/>
  <c r="J60" i="41"/>
  <c r="J111" i="41"/>
  <c r="L123" i="41"/>
  <c r="M123" i="41"/>
  <c r="L108" i="41"/>
  <c r="L63" i="41"/>
  <c r="E118" i="41"/>
  <c r="M118" i="41"/>
  <c r="F148" i="41"/>
  <c r="N148" i="41"/>
  <c r="M93" i="41"/>
  <c r="G103" i="41"/>
  <c r="G123" i="41"/>
  <c r="M143" i="41"/>
  <c r="F143" i="41"/>
  <c r="G133" i="41"/>
  <c r="O133" i="41"/>
  <c r="M148" i="41"/>
  <c r="E88" i="41"/>
  <c r="F128" i="41"/>
  <c r="L98" i="41"/>
  <c r="F138" i="41"/>
  <c r="M113" i="41"/>
  <c r="E133" i="41"/>
  <c r="G138" i="41"/>
  <c r="O138" i="41"/>
  <c r="F113" i="41"/>
  <c r="N103" i="41"/>
  <c r="L88" i="41"/>
  <c r="O123" i="41"/>
  <c r="M68" i="41"/>
  <c r="F108" i="41"/>
  <c r="E108" i="41"/>
  <c r="M108" i="41"/>
  <c r="O128" i="41"/>
  <c r="G78" i="41"/>
  <c r="F93" i="41"/>
  <c r="N93" i="41"/>
  <c r="M83" i="41"/>
  <c r="G58" i="41"/>
  <c r="L78" i="41"/>
  <c r="M78" i="41"/>
  <c r="N63" i="41"/>
  <c r="G63" i="41"/>
  <c r="O63" i="41"/>
  <c r="F68" i="41"/>
  <c r="O93" i="41"/>
  <c r="F78" i="41"/>
  <c r="L83" i="41"/>
  <c r="N88" i="41"/>
  <c r="G88" i="41"/>
  <c r="O83" i="41"/>
  <c r="F83" i="41"/>
  <c r="J41" i="68"/>
  <c r="E42" i="68"/>
  <c r="F42" i="68"/>
  <c r="K41" i="68"/>
  <c r="I42" i="68"/>
  <c r="E43" i="67"/>
  <c r="F43" i="67"/>
  <c r="J8" i="67"/>
  <c r="J18" i="67"/>
  <c r="E42" i="66"/>
  <c r="J41" i="66"/>
  <c r="K41" i="66"/>
  <c r="J8" i="65"/>
  <c r="I42" i="65"/>
  <c r="F42" i="65"/>
  <c r="J18" i="65"/>
  <c r="K18" i="65"/>
  <c r="M42" i="65"/>
  <c r="E42" i="65"/>
  <c r="G42" i="65"/>
  <c r="K41" i="65"/>
  <c r="O46" i="64"/>
  <c r="J18" i="64"/>
  <c r="K45" i="64"/>
  <c r="M46" i="64"/>
  <c r="E46" i="64"/>
  <c r="J45" i="64"/>
  <c r="F46" i="64"/>
  <c r="G46" i="64"/>
  <c r="J8" i="64"/>
  <c r="I46" i="64"/>
  <c r="H46" i="64"/>
  <c r="H50" i="64"/>
  <c r="G52" i="63"/>
  <c r="K51" i="63"/>
  <c r="I52" i="63"/>
  <c r="K52" i="63"/>
  <c r="M52" i="63"/>
  <c r="N52" i="63"/>
  <c r="E52" i="63"/>
  <c r="O52" i="63"/>
  <c r="F52" i="63"/>
  <c r="J51" i="63"/>
  <c r="J18" i="63"/>
  <c r="G40" i="62"/>
  <c r="L40" i="62"/>
  <c r="K39" i="62"/>
  <c r="O40" i="62"/>
  <c r="E40" i="62"/>
  <c r="F40" i="62"/>
  <c r="J8" i="62"/>
  <c r="I40" i="62"/>
  <c r="J18" i="62"/>
  <c r="J8" i="61"/>
  <c r="K18" i="61"/>
  <c r="F35" i="61"/>
  <c r="G35" i="61"/>
  <c r="K34" i="61"/>
  <c r="E35" i="61"/>
  <c r="J34" i="61"/>
  <c r="I35" i="61"/>
  <c r="K8" i="61"/>
  <c r="J18" i="61"/>
  <c r="E45" i="60"/>
  <c r="F45" i="60"/>
  <c r="I45" i="60"/>
  <c r="N45" i="60"/>
  <c r="K44" i="60"/>
  <c r="G45" i="60"/>
  <c r="F42" i="59"/>
  <c r="G42" i="59"/>
  <c r="J41" i="59"/>
  <c r="G41" i="58"/>
  <c r="L41" i="58"/>
  <c r="M41" i="58"/>
  <c r="K40" i="58"/>
  <c r="E41" i="58"/>
  <c r="J40" i="58"/>
  <c r="I41" i="58"/>
  <c r="J18" i="58"/>
  <c r="E39" i="57"/>
  <c r="F39" i="57"/>
  <c r="G39" i="57"/>
  <c r="H39" i="57"/>
  <c r="H43" i="57"/>
  <c r="L39" i="57"/>
  <c r="M39" i="57"/>
  <c r="K38" i="57"/>
  <c r="J8" i="57"/>
  <c r="I39" i="57"/>
  <c r="J18" i="57"/>
  <c r="G52" i="56"/>
  <c r="I52" i="56"/>
  <c r="H52" i="56"/>
  <c r="K8" i="56"/>
  <c r="J18" i="56"/>
  <c r="K51" i="56"/>
  <c r="M52" i="56"/>
  <c r="E52" i="56"/>
  <c r="F52" i="56"/>
  <c r="J51" i="56"/>
  <c r="F38" i="55"/>
  <c r="G38" i="55"/>
  <c r="J37" i="55"/>
  <c r="K37" i="55"/>
  <c r="H47" i="54"/>
  <c r="H51" i="54"/>
  <c r="K46" i="54"/>
  <c r="E47" i="54"/>
  <c r="G47" i="54"/>
  <c r="J46" i="54"/>
  <c r="I47" i="54"/>
  <c r="J8" i="54"/>
  <c r="O50" i="53"/>
  <c r="N50" i="53"/>
  <c r="K48" i="53"/>
  <c r="J48" i="53"/>
  <c r="H43" i="53"/>
  <c r="O39" i="53"/>
  <c r="O72" i="41"/>
  <c r="N39" i="53"/>
  <c r="N72" i="41"/>
  <c r="M39" i="53"/>
  <c r="M72" i="41"/>
  <c r="M73" i="41"/>
  <c r="L39" i="53"/>
  <c r="L72" i="41"/>
  <c r="L73" i="41"/>
  <c r="I39" i="53"/>
  <c r="G39" i="53"/>
  <c r="G72" i="41"/>
  <c r="F39" i="53"/>
  <c r="F72" i="41"/>
  <c r="F73" i="41"/>
  <c r="E39" i="53"/>
  <c r="E72" i="41"/>
  <c r="E73" i="41"/>
  <c r="K38" i="53"/>
  <c r="J38" i="53"/>
  <c r="K37" i="53"/>
  <c r="J37" i="53"/>
  <c r="K36" i="53"/>
  <c r="J36" i="53"/>
  <c r="K35" i="53"/>
  <c r="J35" i="53"/>
  <c r="K34" i="53"/>
  <c r="J34" i="53"/>
  <c r="K33" i="53"/>
  <c r="J33" i="53"/>
  <c r="K32" i="53"/>
  <c r="J32" i="53"/>
  <c r="K31" i="53"/>
  <c r="J31" i="53"/>
  <c r="K30" i="53"/>
  <c r="J30" i="53"/>
  <c r="K28" i="53"/>
  <c r="J28" i="53"/>
  <c r="K23" i="53"/>
  <c r="J23" i="53"/>
  <c r="K22" i="53"/>
  <c r="J22" i="53"/>
  <c r="K21" i="53"/>
  <c r="J21" i="53"/>
  <c r="O18" i="53"/>
  <c r="N18" i="53"/>
  <c r="M18" i="53"/>
  <c r="L18" i="53"/>
  <c r="I18" i="53"/>
  <c r="H18" i="53"/>
  <c r="G18" i="53"/>
  <c r="G40" i="53"/>
  <c r="F18" i="53"/>
  <c r="E18" i="53"/>
  <c r="K17" i="53"/>
  <c r="J17" i="53"/>
  <c r="K16" i="53"/>
  <c r="J16" i="53"/>
  <c r="K15" i="53"/>
  <c r="J15" i="53"/>
  <c r="K14" i="53"/>
  <c r="J14" i="53"/>
  <c r="K13" i="53"/>
  <c r="J13" i="53"/>
  <c r="K12" i="53"/>
  <c r="J12" i="53"/>
  <c r="K10" i="53"/>
  <c r="J10" i="53"/>
  <c r="O8" i="53"/>
  <c r="N8" i="53"/>
  <c r="M8" i="53"/>
  <c r="L8" i="53"/>
  <c r="G8" i="53"/>
  <c r="F8" i="53"/>
  <c r="F70" i="41"/>
  <c r="E8" i="53"/>
  <c r="K7" i="53"/>
  <c r="J7" i="53"/>
  <c r="K6" i="53"/>
  <c r="J6" i="53"/>
  <c r="J52" i="63"/>
  <c r="J107" i="41"/>
  <c r="K45" i="60"/>
  <c r="J96" i="41"/>
  <c r="L40" i="53"/>
  <c r="J18" i="53"/>
  <c r="K18" i="53"/>
  <c r="J147" i="41"/>
  <c r="K42" i="66"/>
  <c r="K42" i="65"/>
  <c r="J42" i="65"/>
  <c r="J42" i="66"/>
  <c r="H56" i="56"/>
  <c r="J52" i="56"/>
  <c r="J42" i="59"/>
  <c r="K42" i="59"/>
  <c r="J43" i="67"/>
  <c r="K43" i="67"/>
  <c r="J38" i="55"/>
  <c r="K38" i="55"/>
  <c r="K8" i="53"/>
  <c r="K42" i="68"/>
  <c r="J42" i="68"/>
  <c r="K46" i="64"/>
  <c r="J46" i="64"/>
  <c r="K40" i="62"/>
  <c r="J40" i="62"/>
  <c r="J35" i="61"/>
  <c r="K35" i="61"/>
  <c r="J45" i="60"/>
  <c r="K41" i="58"/>
  <c r="J41" i="58"/>
  <c r="K39" i="57"/>
  <c r="J39" i="57"/>
  <c r="K52" i="56"/>
  <c r="K47" i="54"/>
  <c r="J47" i="54"/>
  <c r="M40" i="53"/>
  <c r="N40" i="53"/>
  <c r="F40" i="53"/>
  <c r="O40" i="53"/>
  <c r="E40" i="53"/>
  <c r="J8" i="53"/>
  <c r="I40" i="53"/>
  <c r="O37" i="52"/>
  <c r="N37" i="52"/>
  <c r="K35" i="52"/>
  <c r="J35" i="52"/>
  <c r="H30" i="52"/>
  <c r="O26" i="52"/>
  <c r="N26" i="52"/>
  <c r="M26" i="52"/>
  <c r="L26" i="52"/>
  <c r="I26" i="52"/>
  <c r="K26" i="52"/>
  <c r="H26" i="52"/>
  <c r="G26" i="52"/>
  <c r="F26" i="52"/>
  <c r="E26" i="52"/>
  <c r="K25" i="52"/>
  <c r="J25" i="52"/>
  <c r="K24" i="52"/>
  <c r="J24" i="52"/>
  <c r="K23" i="52"/>
  <c r="J23" i="52"/>
  <c r="K22" i="52"/>
  <c r="J22" i="52"/>
  <c r="K21" i="52"/>
  <c r="J21" i="52"/>
  <c r="O18" i="52"/>
  <c r="O27" i="52"/>
  <c r="N18" i="52"/>
  <c r="N27" i="52"/>
  <c r="M18" i="52"/>
  <c r="M27" i="52"/>
  <c r="L18" i="52"/>
  <c r="L27" i="52"/>
  <c r="I18" i="52"/>
  <c r="K18" i="52"/>
  <c r="H18" i="52"/>
  <c r="H27" i="52"/>
  <c r="H31" i="52"/>
  <c r="G18" i="52"/>
  <c r="G27" i="52"/>
  <c r="F18" i="52"/>
  <c r="F27" i="52"/>
  <c r="E18" i="52"/>
  <c r="E27" i="52"/>
  <c r="K17" i="52"/>
  <c r="J17" i="52"/>
  <c r="K16" i="52"/>
  <c r="J16" i="52"/>
  <c r="K15" i="52"/>
  <c r="J15" i="52"/>
  <c r="K14" i="52"/>
  <c r="J14" i="52"/>
  <c r="K13" i="52"/>
  <c r="J13" i="52"/>
  <c r="K12" i="52"/>
  <c r="J12" i="52"/>
  <c r="K10" i="52"/>
  <c r="J10" i="52"/>
  <c r="O8" i="52"/>
  <c r="N8" i="52"/>
  <c r="M8" i="52"/>
  <c r="L8" i="52"/>
  <c r="I8" i="52"/>
  <c r="J8" i="52"/>
  <c r="H8" i="52"/>
  <c r="G8" i="52"/>
  <c r="F8" i="52"/>
  <c r="E8" i="52"/>
  <c r="K7" i="52"/>
  <c r="J7" i="52"/>
  <c r="K6" i="52"/>
  <c r="J6" i="52"/>
  <c r="O45" i="51"/>
  <c r="N45" i="51"/>
  <c r="K43" i="51"/>
  <c r="J43" i="51"/>
  <c r="H38" i="51"/>
  <c r="O34" i="51"/>
  <c r="N34" i="51"/>
  <c r="M34" i="51"/>
  <c r="L34" i="51"/>
  <c r="I34" i="51"/>
  <c r="H34" i="51"/>
  <c r="G34" i="51"/>
  <c r="F34" i="51"/>
  <c r="E34" i="51"/>
  <c r="K33" i="51"/>
  <c r="J33" i="51"/>
  <c r="K32" i="51"/>
  <c r="J32" i="51"/>
  <c r="K31" i="51"/>
  <c r="J31" i="51"/>
  <c r="K30" i="51"/>
  <c r="J30" i="51"/>
  <c r="K29" i="51"/>
  <c r="J29" i="51"/>
  <c r="K28" i="51"/>
  <c r="J28" i="51"/>
  <c r="K27" i="51"/>
  <c r="J27" i="51"/>
  <c r="K26" i="51"/>
  <c r="J26" i="51"/>
  <c r="K25" i="51"/>
  <c r="J25" i="51"/>
  <c r="K24" i="51"/>
  <c r="J24" i="51"/>
  <c r="K23" i="51"/>
  <c r="J23" i="51"/>
  <c r="K22" i="51"/>
  <c r="J22" i="51"/>
  <c r="K21" i="51"/>
  <c r="J21" i="51"/>
  <c r="O18" i="51"/>
  <c r="O35" i="51"/>
  <c r="N18" i="51"/>
  <c r="N35" i="51"/>
  <c r="M18" i="51"/>
  <c r="M35" i="51"/>
  <c r="L18" i="51"/>
  <c r="L35" i="51"/>
  <c r="I18" i="51"/>
  <c r="H18" i="51"/>
  <c r="G18" i="51"/>
  <c r="F18" i="51"/>
  <c r="E18" i="51"/>
  <c r="K17" i="51"/>
  <c r="J17" i="51"/>
  <c r="K16" i="51"/>
  <c r="J16" i="51"/>
  <c r="K15" i="51"/>
  <c r="J15" i="51"/>
  <c r="K14" i="51"/>
  <c r="J14" i="51"/>
  <c r="K13" i="51"/>
  <c r="J13" i="51"/>
  <c r="K12" i="51"/>
  <c r="J12" i="51"/>
  <c r="K10" i="51"/>
  <c r="J10" i="51"/>
  <c r="O8" i="51"/>
  <c r="N8" i="51"/>
  <c r="M8" i="51"/>
  <c r="L8" i="51"/>
  <c r="G8" i="51"/>
  <c r="F8" i="51"/>
  <c r="F60" i="41"/>
  <c r="E8" i="51"/>
  <c r="K7" i="51"/>
  <c r="J7" i="51"/>
  <c r="K6" i="51"/>
  <c r="J6" i="51"/>
  <c r="I35" i="51"/>
  <c r="J18" i="51"/>
  <c r="K18" i="51"/>
  <c r="J71" i="41"/>
  <c r="J34" i="51"/>
  <c r="K34" i="51"/>
  <c r="H35" i="51"/>
  <c r="H39" i="51"/>
  <c r="J87" i="41"/>
  <c r="J8" i="51"/>
  <c r="K8" i="51"/>
  <c r="I27" i="52"/>
  <c r="K8" i="52"/>
  <c r="J18" i="52"/>
  <c r="J26" i="52"/>
  <c r="F35" i="51"/>
  <c r="E35" i="51"/>
  <c r="G35" i="51"/>
  <c r="K25" i="50"/>
  <c r="J25" i="50"/>
  <c r="K24" i="50"/>
  <c r="J24" i="50"/>
  <c r="K23" i="50"/>
  <c r="J23" i="50"/>
  <c r="E34" i="50"/>
  <c r="F34" i="50"/>
  <c r="G34" i="50"/>
  <c r="O45" i="50"/>
  <c r="N45" i="50"/>
  <c r="K43" i="50"/>
  <c r="J43" i="50"/>
  <c r="H38" i="50"/>
  <c r="O34" i="50"/>
  <c r="N34" i="50"/>
  <c r="M34" i="50"/>
  <c r="L34" i="50"/>
  <c r="I34" i="50"/>
  <c r="H34" i="50"/>
  <c r="K33" i="50"/>
  <c r="J33" i="50"/>
  <c r="K32" i="50"/>
  <c r="J32" i="50"/>
  <c r="K31" i="50"/>
  <c r="J31" i="50"/>
  <c r="K30" i="50"/>
  <c r="J30" i="50"/>
  <c r="K29" i="50"/>
  <c r="J29" i="50"/>
  <c r="K28" i="50"/>
  <c r="J28" i="50"/>
  <c r="K27" i="50"/>
  <c r="J27" i="50"/>
  <c r="K26" i="50"/>
  <c r="J26" i="50"/>
  <c r="K22" i="50"/>
  <c r="J22" i="50"/>
  <c r="K21" i="50"/>
  <c r="J21" i="50"/>
  <c r="O18" i="50"/>
  <c r="N18" i="50"/>
  <c r="M18" i="50"/>
  <c r="M35" i="50"/>
  <c r="L18" i="50"/>
  <c r="L35" i="50"/>
  <c r="I18" i="50"/>
  <c r="H18" i="50"/>
  <c r="G18" i="50"/>
  <c r="F18" i="50"/>
  <c r="E18" i="50"/>
  <c r="K17" i="50"/>
  <c r="J17" i="50"/>
  <c r="K16" i="50"/>
  <c r="J16" i="50"/>
  <c r="K15" i="50"/>
  <c r="J15" i="50"/>
  <c r="K14" i="50"/>
  <c r="J14" i="50"/>
  <c r="K13" i="50"/>
  <c r="J13" i="50"/>
  <c r="K12" i="50"/>
  <c r="J12" i="50"/>
  <c r="K10" i="50"/>
  <c r="J10" i="50"/>
  <c r="O8" i="50"/>
  <c r="N8" i="50"/>
  <c r="M8" i="50"/>
  <c r="L8" i="50"/>
  <c r="G8" i="50"/>
  <c r="F8" i="50"/>
  <c r="E8" i="50"/>
  <c r="K7" i="50"/>
  <c r="J7" i="50"/>
  <c r="K6" i="50"/>
  <c r="J6" i="50"/>
  <c r="I35" i="50"/>
  <c r="K18" i="50"/>
  <c r="J56" i="41"/>
  <c r="K35" i="51"/>
  <c r="J62" i="41"/>
  <c r="J35" i="51"/>
  <c r="J57" i="41"/>
  <c r="K8" i="50"/>
  <c r="K27" i="52"/>
  <c r="J27" i="52"/>
  <c r="N35" i="50"/>
  <c r="O35" i="50"/>
  <c r="E35" i="50"/>
  <c r="F35" i="50"/>
  <c r="G35" i="50"/>
  <c r="J8" i="50"/>
  <c r="J34" i="50"/>
  <c r="J18" i="50"/>
  <c r="K34" i="50"/>
  <c r="H35" i="50"/>
  <c r="H39" i="50"/>
  <c r="K35" i="50"/>
  <c r="J35" i="50"/>
  <c r="O37" i="49"/>
  <c r="N37" i="49"/>
  <c r="K35" i="49"/>
  <c r="J35" i="49"/>
  <c r="H30" i="49"/>
  <c r="N26" i="49"/>
  <c r="M26" i="49"/>
  <c r="L26" i="49"/>
  <c r="I26" i="49"/>
  <c r="I52" i="41"/>
  <c r="H26" i="49"/>
  <c r="G26" i="49"/>
  <c r="F26" i="49"/>
  <c r="E26" i="49"/>
  <c r="K25" i="49"/>
  <c r="J25" i="49"/>
  <c r="K24" i="49"/>
  <c r="J24" i="49"/>
  <c r="K23" i="49"/>
  <c r="J23" i="49"/>
  <c r="K22" i="49"/>
  <c r="J22" i="49"/>
  <c r="K21" i="49"/>
  <c r="J21" i="49"/>
  <c r="O18" i="49"/>
  <c r="O27" i="49"/>
  <c r="N18" i="49"/>
  <c r="N27" i="49"/>
  <c r="M18" i="49"/>
  <c r="M27" i="49"/>
  <c r="L18" i="49"/>
  <c r="L27" i="49"/>
  <c r="I18" i="49"/>
  <c r="K18" i="49"/>
  <c r="H18" i="49"/>
  <c r="H27" i="49"/>
  <c r="H31" i="49"/>
  <c r="G18" i="49"/>
  <c r="G27" i="49"/>
  <c r="F18" i="49"/>
  <c r="F27" i="49"/>
  <c r="E18" i="49"/>
  <c r="K17" i="49"/>
  <c r="J17" i="49"/>
  <c r="K16" i="49"/>
  <c r="J16" i="49"/>
  <c r="K15" i="49"/>
  <c r="J15" i="49"/>
  <c r="K14" i="49"/>
  <c r="J14" i="49"/>
  <c r="K13" i="49"/>
  <c r="J13" i="49"/>
  <c r="K12" i="49"/>
  <c r="J12" i="49"/>
  <c r="K10" i="49"/>
  <c r="J10" i="49"/>
  <c r="O8" i="49"/>
  <c r="N8" i="49"/>
  <c r="M8" i="49"/>
  <c r="L8" i="49"/>
  <c r="I8" i="49"/>
  <c r="K8" i="49"/>
  <c r="H8" i="49"/>
  <c r="G8" i="49"/>
  <c r="F8" i="49"/>
  <c r="E8" i="49"/>
  <c r="K7" i="49"/>
  <c r="J7" i="49"/>
  <c r="K6" i="49"/>
  <c r="J6" i="49"/>
  <c r="O46" i="48"/>
  <c r="N46" i="48"/>
  <c r="K44" i="48"/>
  <c r="J44" i="48"/>
  <c r="H39" i="48"/>
  <c r="O35" i="48"/>
  <c r="O47" i="41"/>
  <c r="O48" i="41"/>
  <c r="N35" i="48"/>
  <c r="N47" i="41"/>
  <c r="M35" i="48"/>
  <c r="M47" i="41"/>
  <c r="L35" i="48"/>
  <c r="L47" i="41"/>
  <c r="I35" i="48"/>
  <c r="H35" i="48"/>
  <c r="G35" i="48"/>
  <c r="G47" i="41"/>
  <c r="F35" i="48"/>
  <c r="F47" i="41"/>
  <c r="E35" i="48"/>
  <c r="E47" i="41"/>
  <c r="K34" i="48"/>
  <c r="J34" i="48"/>
  <c r="K33" i="48"/>
  <c r="J33" i="48"/>
  <c r="K32" i="48"/>
  <c r="J32" i="48"/>
  <c r="K31" i="48"/>
  <c r="J31" i="48"/>
  <c r="K30" i="48"/>
  <c r="J30" i="48"/>
  <c r="K29" i="48"/>
  <c r="J29" i="48"/>
  <c r="K28" i="48"/>
  <c r="J28" i="48"/>
  <c r="K27" i="48"/>
  <c r="J27" i="48"/>
  <c r="K26" i="48"/>
  <c r="J26" i="48"/>
  <c r="K25" i="48"/>
  <c r="J25" i="48"/>
  <c r="K24" i="48"/>
  <c r="J24" i="48"/>
  <c r="K23" i="48"/>
  <c r="J23" i="48"/>
  <c r="K22" i="48"/>
  <c r="J22" i="48"/>
  <c r="K21" i="48"/>
  <c r="J21" i="48"/>
  <c r="K20" i="48"/>
  <c r="J20" i="48"/>
  <c r="O17" i="48"/>
  <c r="N17" i="48"/>
  <c r="M17" i="48"/>
  <c r="L17" i="48"/>
  <c r="I17" i="48"/>
  <c r="H17" i="48"/>
  <c r="G17" i="48"/>
  <c r="G46" i="41"/>
  <c r="G48" i="41"/>
  <c r="F17" i="48"/>
  <c r="F46" i="41"/>
  <c r="F48" i="41"/>
  <c r="E17" i="48"/>
  <c r="E46" i="41"/>
  <c r="K16" i="48"/>
  <c r="J16" i="48"/>
  <c r="K15" i="48"/>
  <c r="J15" i="48"/>
  <c r="K14" i="48"/>
  <c r="J14" i="48"/>
  <c r="K13" i="48"/>
  <c r="J13" i="48"/>
  <c r="K12" i="48"/>
  <c r="J12" i="48"/>
  <c r="K10" i="48"/>
  <c r="J10" i="48"/>
  <c r="O8" i="48"/>
  <c r="O44" i="41"/>
  <c r="N8" i="48"/>
  <c r="N44" i="41"/>
  <c r="M8" i="48"/>
  <c r="M44" i="41"/>
  <c r="L8" i="48"/>
  <c r="L44" i="41"/>
  <c r="G8" i="48"/>
  <c r="G44" i="41"/>
  <c r="F8" i="48"/>
  <c r="F44" i="41"/>
  <c r="E8" i="48"/>
  <c r="E44" i="41"/>
  <c r="K7" i="48"/>
  <c r="J7" i="48"/>
  <c r="K6" i="48"/>
  <c r="J6" i="48"/>
  <c r="O37" i="47"/>
  <c r="N37" i="47"/>
  <c r="K35" i="47"/>
  <c r="J35" i="47"/>
  <c r="H30" i="47"/>
  <c r="O26" i="47"/>
  <c r="O41" i="41"/>
  <c r="N26" i="47"/>
  <c r="M26" i="47"/>
  <c r="L26" i="47"/>
  <c r="I26" i="47"/>
  <c r="H26" i="47"/>
  <c r="G26" i="47"/>
  <c r="F26" i="47"/>
  <c r="E26" i="47"/>
  <c r="K25" i="47"/>
  <c r="J25" i="47"/>
  <c r="K24" i="47"/>
  <c r="J24" i="47"/>
  <c r="K23" i="47"/>
  <c r="J23" i="47"/>
  <c r="K22" i="47"/>
  <c r="J22" i="47"/>
  <c r="K21" i="47"/>
  <c r="J21" i="47"/>
  <c r="O18" i="47"/>
  <c r="N18" i="47"/>
  <c r="N27" i="47"/>
  <c r="M18" i="47"/>
  <c r="L18" i="47"/>
  <c r="I18" i="47"/>
  <c r="H18" i="47"/>
  <c r="G18" i="47"/>
  <c r="G27" i="47"/>
  <c r="F18" i="47"/>
  <c r="E18" i="47"/>
  <c r="K17" i="47"/>
  <c r="J17" i="47"/>
  <c r="K16" i="47"/>
  <c r="J16" i="47"/>
  <c r="K15" i="47"/>
  <c r="J15" i="47"/>
  <c r="K14" i="47"/>
  <c r="J14" i="47"/>
  <c r="K13" i="47"/>
  <c r="J13" i="47"/>
  <c r="K12" i="47"/>
  <c r="J12" i="47"/>
  <c r="K10" i="47"/>
  <c r="J10" i="47"/>
  <c r="O8" i="47"/>
  <c r="N8" i="47"/>
  <c r="M8" i="47"/>
  <c r="L8" i="47"/>
  <c r="I8" i="47"/>
  <c r="H8" i="47"/>
  <c r="G8" i="47"/>
  <c r="F8" i="47"/>
  <c r="E8" i="47"/>
  <c r="K7" i="47"/>
  <c r="J7" i="47"/>
  <c r="K6" i="47"/>
  <c r="J6" i="47"/>
  <c r="K26" i="49"/>
  <c r="O27" i="47"/>
  <c r="N36" i="48"/>
  <c r="N46" i="41"/>
  <c r="L36" i="48"/>
  <c r="L46" i="41"/>
  <c r="L48" i="41"/>
  <c r="M36" i="48"/>
  <c r="M46" i="41"/>
  <c r="O36" i="48"/>
  <c r="O46" i="41"/>
  <c r="K8" i="48"/>
  <c r="E27" i="49"/>
  <c r="J26" i="49"/>
  <c r="J8" i="49"/>
  <c r="I27" i="49"/>
  <c r="J18" i="49"/>
  <c r="G36" i="48"/>
  <c r="H36" i="48"/>
  <c r="H40" i="48"/>
  <c r="J35" i="48"/>
  <c r="F36" i="48"/>
  <c r="K17" i="48"/>
  <c r="E36" i="48"/>
  <c r="J18" i="47"/>
  <c r="I27" i="47"/>
  <c r="K8" i="47"/>
  <c r="K18" i="47"/>
  <c r="F27" i="47"/>
  <c r="L27" i="47"/>
  <c r="M27" i="47"/>
  <c r="K35" i="48"/>
  <c r="I36" i="48"/>
  <c r="J8" i="48"/>
  <c r="J17" i="48"/>
  <c r="K26" i="47"/>
  <c r="E27" i="47"/>
  <c r="J26" i="47"/>
  <c r="H27" i="47"/>
  <c r="H31" i="47"/>
  <c r="J8" i="47"/>
  <c r="O39" i="46"/>
  <c r="N39" i="46"/>
  <c r="K37" i="46"/>
  <c r="J37" i="46"/>
  <c r="H32" i="46"/>
  <c r="O28" i="46"/>
  <c r="O36" i="41"/>
  <c r="N28" i="46"/>
  <c r="N36" i="41"/>
  <c r="M28" i="46"/>
  <c r="M36" i="41"/>
  <c r="L28" i="46"/>
  <c r="L36" i="41"/>
  <c r="L37" i="41"/>
  <c r="I28" i="46"/>
  <c r="I36" i="41"/>
  <c r="H28" i="46"/>
  <c r="G28" i="46"/>
  <c r="G36" i="41"/>
  <c r="F28" i="46"/>
  <c r="F36" i="41"/>
  <c r="E28" i="46"/>
  <c r="E36" i="41"/>
  <c r="K27" i="46"/>
  <c r="J27" i="46"/>
  <c r="K26" i="46"/>
  <c r="J26" i="46"/>
  <c r="K25" i="46"/>
  <c r="J25" i="46"/>
  <c r="K24" i="46"/>
  <c r="J24" i="46"/>
  <c r="K23" i="46"/>
  <c r="J23" i="46"/>
  <c r="K22" i="46"/>
  <c r="J22" i="46"/>
  <c r="K21" i="46"/>
  <c r="J21" i="46"/>
  <c r="K20" i="46"/>
  <c r="J20" i="46"/>
  <c r="K19" i="46"/>
  <c r="J19" i="46"/>
  <c r="K18" i="46"/>
  <c r="J18" i="46"/>
  <c r="O15" i="46"/>
  <c r="N15" i="46"/>
  <c r="N35" i="41"/>
  <c r="M15" i="46"/>
  <c r="L15" i="46"/>
  <c r="L35" i="41"/>
  <c r="I15" i="46"/>
  <c r="H15" i="46"/>
  <c r="G15" i="46"/>
  <c r="G35" i="41"/>
  <c r="F15" i="46"/>
  <c r="F35" i="41"/>
  <c r="F37" i="41"/>
  <c r="E15" i="46"/>
  <c r="E35" i="41"/>
  <c r="K14" i="46"/>
  <c r="J14" i="46"/>
  <c r="K13" i="46"/>
  <c r="J13" i="46"/>
  <c r="K12" i="46"/>
  <c r="J12" i="46"/>
  <c r="K10" i="46"/>
  <c r="J10" i="46"/>
  <c r="O8" i="46"/>
  <c r="O34" i="41"/>
  <c r="N8" i="46"/>
  <c r="N34" i="41"/>
  <c r="M8" i="46"/>
  <c r="M34" i="41"/>
  <c r="L8" i="46"/>
  <c r="L34" i="41"/>
  <c r="I8" i="46"/>
  <c r="H8" i="46"/>
  <c r="G8" i="46"/>
  <c r="G34" i="41"/>
  <c r="F8" i="46"/>
  <c r="F34" i="41"/>
  <c r="E8" i="46"/>
  <c r="E34" i="41"/>
  <c r="K7" i="46"/>
  <c r="J7" i="46"/>
  <c r="K6" i="46"/>
  <c r="J6" i="46"/>
  <c r="O52" i="45"/>
  <c r="N52" i="45"/>
  <c r="K50" i="45"/>
  <c r="J50" i="45"/>
  <c r="H45" i="45"/>
  <c r="O41" i="45"/>
  <c r="N41" i="45"/>
  <c r="M41" i="45"/>
  <c r="L41" i="45"/>
  <c r="I41" i="45"/>
  <c r="I31" i="41"/>
  <c r="H41" i="45"/>
  <c r="G41" i="45"/>
  <c r="F41" i="45"/>
  <c r="E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K23" i="45"/>
  <c r="J23" i="45"/>
  <c r="K22" i="45"/>
  <c r="J22" i="45"/>
  <c r="K21" i="45"/>
  <c r="J21" i="45"/>
  <c r="O18" i="45"/>
  <c r="O42" i="45"/>
  <c r="N18" i="45"/>
  <c r="M18" i="45"/>
  <c r="L18" i="45"/>
  <c r="I18" i="45"/>
  <c r="H18" i="45"/>
  <c r="G18" i="45"/>
  <c r="F18" i="45"/>
  <c r="E18" i="45"/>
  <c r="E42" i="45"/>
  <c r="K17" i="45"/>
  <c r="J17" i="45"/>
  <c r="K16" i="45"/>
  <c r="J16" i="45"/>
  <c r="K15" i="45"/>
  <c r="J15" i="45"/>
  <c r="K14" i="45"/>
  <c r="J14" i="45"/>
  <c r="K13" i="45"/>
  <c r="J13" i="45"/>
  <c r="K12" i="45"/>
  <c r="J12" i="45"/>
  <c r="K10" i="45"/>
  <c r="J10" i="45"/>
  <c r="O8" i="45"/>
  <c r="N8" i="45"/>
  <c r="M8" i="45"/>
  <c r="L8" i="45"/>
  <c r="G8" i="45"/>
  <c r="F8" i="45"/>
  <c r="E8" i="45"/>
  <c r="K7" i="45"/>
  <c r="J7" i="45"/>
  <c r="K6" i="45"/>
  <c r="J6" i="45"/>
  <c r="L18" i="39"/>
  <c r="M8" i="39"/>
  <c r="N8" i="39"/>
  <c r="O8" i="39"/>
  <c r="L8" i="39"/>
  <c r="M62" i="39"/>
  <c r="N62" i="39"/>
  <c r="L62" i="39"/>
  <c r="L49" i="43"/>
  <c r="L50" i="43"/>
  <c r="M49" i="43"/>
  <c r="N49" i="43"/>
  <c r="M8" i="43"/>
  <c r="N8" i="43"/>
  <c r="O8" i="43"/>
  <c r="L8" i="43"/>
  <c r="M47" i="44"/>
  <c r="N47" i="44"/>
  <c r="O47" i="44"/>
  <c r="O26" i="41"/>
  <c r="O27" i="41"/>
  <c r="L47" i="44"/>
  <c r="L17" i="44"/>
  <c r="L48" i="44"/>
  <c r="M8" i="44"/>
  <c r="N8" i="44"/>
  <c r="O8" i="44"/>
  <c r="L8" i="44"/>
  <c r="O58" i="44"/>
  <c r="N58" i="44"/>
  <c r="K56" i="44"/>
  <c r="J56" i="44"/>
  <c r="H51" i="44"/>
  <c r="I47" i="44"/>
  <c r="I26" i="41"/>
  <c r="K26" i="41"/>
  <c r="H47" i="44"/>
  <c r="G47" i="44"/>
  <c r="F47" i="44"/>
  <c r="E47" i="44"/>
  <c r="K46" i="44"/>
  <c r="J46" i="44"/>
  <c r="K45" i="44"/>
  <c r="J45" i="44"/>
  <c r="K44" i="44"/>
  <c r="J44" i="44"/>
  <c r="K43" i="44"/>
  <c r="J43" i="44"/>
  <c r="K42" i="44"/>
  <c r="J42" i="44"/>
  <c r="K41" i="44"/>
  <c r="J41" i="44"/>
  <c r="K40" i="44"/>
  <c r="J40" i="44"/>
  <c r="K39" i="44"/>
  <c r="J39" i="44"/>
  <c r="K38" i="44"/>
  <c r="J38" i="44"/>
  <c r="K37" i="44"/>
  <c r="J37" i="44"/>
  <c r="K36" i="44"/>
  <c r="J36" i="44"/>
  <c r="K35" i="44"/>
  <c r="J35" i="44"/>
  <c r="K34" i="44"/>
  <c r="J34" i="44"/>
  <c r="K33" i="44"/>
  <c r="J33" i="44"/>
  <c r="K32" i="44"/>
  <c r="J32" i="44"/>
  <c r="K31" i="44"/>
  <c r="J31" i="44"/>
  <c r="K30" i="44"/>
  <c r="J30" i="44"/>
  <c r="K29" i="44"/>
  <c r="J29" i="44"/>
  <c r="K28" i="44"/>
  <c r="J28" i="44"/>
  <c r="K27" i="44"/>
  <c r="J27" i="44"/>
  <c r="K26" i="44"/>
  <c r="J26" i="44"/>
  <c r="K25" i="44"/>
  <c r="J25" i="44"/>
  <c r="K24" i="44"/>
  <c r="J24" i="44"/>
  <c r="K23" i="44"/>
  <c r="J23" i="44"/>
  <c r="K22" i="44"/>
  <c r="J22" i="44"/>
  <c r="K21" i="44"/>
  <c r="J21" i="44"/>
  <c r="K20" i="44"/>
  <c r="J20" i="44"/>
  <c r="O17" i="44"/>
  <c r="N17" i="44"/>
  <c r="N48" i="44"/>
  <c r="M17" i="44"/>
  <c r="M48" i="44"/>
  <c r="I17" i="44"/>
  <c r="H17" i="44"/>
  <c r="G17" i="44"/>
  <c r="F17" i="44"/>
  <c r="E17" i="44"/>
  <c r="K16" i="44"/>
  <c r="J16" i="44"/>
  <c r="K15" i="44"/>
  <c r="J15" i="44"/>
  <c r="K14" i="44"/>
  <c r="J14" i="44"/>
  <c r="K13" i="44"/>
  <c r="J13" i="44"/>
  <c r="K12" i="44"/>
  <c r="J12" i="44"/>
  <c r="K10" i="44"/>
  <c r="J10" i="44"/>
  <c r="G8" i="44"/>
  <c r="G23" i="41"/>
  <c r="F8" i="44"/>
  <c r="F23" i="41"/>
  <c r="E8" i="44"/>
  <c r="E23" i="41"/>
  <c r="K7" i="44"/>
  <c r="J7" i="44"/>
  <c r="K6" i="44"/>
  <c r="J6" i="44"/>
  <c r="O60" i="43"/>
  <c r="N60" i="43"/>
  <c r="K58" i="43"/>
  <c r="J58" i="43"/>
  <c r="H53" i="43"/>
  <c r="H49" i="43"/>
  <c r="G49" i="43"/>
  <c r="F49" i="43"/>
  <c r="E49" i="43"/>
  <c r="K48" i="43"/>
  <c r="J48" i="43"/>
  <c r="K47" i="43"/>
  <c r="J47" i="43"/>
  <c r="K46" i="43"/>
  <c r="J46" i="43"/>
  <c r="K45" i="43"/>
  <c r="J45" i="43"/>
  <c r="K44" i="43"/>
  <c r="J44" i="43"/>
  <c r="K43" i="43"/>
  <c r="J43" i="43"/>
  <c r="K42" i="43"/>
  <c r="J42" i="43"/>
  <c r="K41" i="43"/>
  <c r="J41" i="43"/>
  <c r="K40" i="43"/>
  <c r="J40" i="43"/>
  <c r="K39" i="43"/>
  <c r="J39" i="43"/>
  <c r="K38" i="43"/>
  <c r="J38" i="43"/>
  <c r="K37" i="43"/>
  <c r="J37" i="43"/>
  <c r="K36" i="43"/>
  <c r="J36" i="43"/>
  <c r="K35" i="43"/>
  <c r="J35" i="43"/>
  <c r="K34" i="43"/>
  <c r="J34" i="43"/>
  <c r="K33" i="43"/>
  <c r="J33" i="43"/>
  <c r="K32" i="43"/>
  <c r="J32" i="43"/>
  <c r="K31" i="43"/>
  <c r="J31" i="43"/>
  <c r="K30" i="43"/>
  <c r="J30" i="43"/>
  <c r="K29" i="43"/>
  <c r="J29" i="43"/>
  <c r="K28" i="43"/>
  <c r="J28" i="43"/>
  <c r="K27" i="43"/>
  <c r="J27" i="43"/>
  <c r="K26" i="43"/>
  <c r="J26" i="43"/>
  <c r="K25" i="43"/>
  <c r="J25" i="43"/>
  <c r="K24" i="43"/>
  <c r="J24" i="43"/>
  <c r="K23" i="43"/>
  <c r="J23" i="43"/>
  <c r="K22" i="43"/>
  <c r="J22" i="43"/>
  <c r="I50" i="43"/>
  <c r="K18" i="43"/>
  <c r="J18" i="43"/>
  <c r="K17" i="43"/>
  <c r="J17" i="43"/>
  <c r="K16" i="43"/>
  <c r="J16" i="43"/>
  <c r="K15" i="43"/>
  <c r="J15" i="43"/>
  <c r="K12" i="43"/>
  <c r="J12" i="43"/>
  <c r="K10" i="43"/>
  <c r="J10" i="43"/>
  <c r="G8" i="43"/>
  <c r="F8" i="43"/>
  <c r="E8" i="43"/>
  <c r="K7" i="43"/>
  <c r="J7" i="43"/>
  <c r="K6" i="43"/>
  <c r="J6" i="43"/>
  <c r="F18" i="39"/>
  <c r="G18" i="39"/>
  <c r="H18" i="39"/>
  <c r="I18" i="39"/>
  <c r="E18" i="39"/>
  <c r="E63" i="39"/>
  <c r="F62" i="39"/>
  <c r="G62" i="39"/>
  <c r="H62" i="39"/>
  <c r="I62" i="39"/>
  <c r="I15" i="41"/>
  <c r="E62" i="39"/>
  <c r="K38" i="39"/>
  <c r="J38" i="39"/>
  <c r="K37" i="39"/>
  <c r="J37" i="39"/>
  <c r="K36" i="39"/>
  <c r="J36" i="39"/>
  <c r="K35" i="39"/>
  <c r="J35" i="39"/>
  <c r="K34" i="39"/>
  <c r="J34" i="39"/>
  <c r="K33" i="39"/>
  <c r="J33" i="39"/>
  <c r="K32" i="39"/>
  <c r="J32" i="39"/>
  <c r="K31" i="39"/>
  <c r="J31" i="39"/>
  <c r="K30" i="39"/>
  <c r="J30" i="39"/>
  <c r="K29" i="39"/>
  <c r="J29" i="39"/>
  <c r="K28" i="39"/>
  <c r="J28" i="39"/>
  <c r="K27" i="39"/>
  <c r="J27" i="39"/>
  <c r="K26" i="39"/>
  <c r="J26" i="39"/>
  <c r="K25" i="39"/>
  <c r="J25" i="39"/>
  <c r="K24" i="39"/>
  <c r="J24" i="39"/>
  <c r="K23" i="39"/>
  <c r="J23" i="39"/>
  <c r="K22" i="39"/>
  <c r="J22" i="39"/>
  <c r="K21" i="39"/>
  <c r="J21" i="39"/>
  <c r="K56" i="39"/>
  <c r="J56" i="39"/>
  <c r="K55" i="39"/>
  <c r="J55" i="39"/>
  <c r="K54" i="39"/>
  <c r="J54" i="39"/>
  <c r="K53" i="39"/>
  <c r="J53" i="39"/>
  <c r="K52" i="39"/>
  <c r="J52" i="39"/>
  <c r="K51" i="39"/>
  <c r="J51" i="39"/>
  <c r="K50" i="39"/>
  <c r="J50" i="39"/>
  <c r="K49" i="39"/>
  <c r="J49" i="39"/>
  <c r="K48" i="39"/>
  <c r="J48" i="39"/>
  <c r="K47" i="39"/>
  <c r="J47" i="39"/>
  <c r="K46" i="39"/>
  <c r="J46" i="39"/>
  <c r="K45" i="39"/>
  <c r="J45" i="39"/>
  <c r="K44" i="39"/>
  <c r="J44" i="39"/>
  <c r="K43" i="39"/>
  <c r="J43" i="39"/>
  <c r="K42" i="39"/>
  <c r="J42" i="39"/>
  <c r="K41" i="39"/>
  <c r="J41" i="39"/>
  <c r="K40" i="39"/>
  <c r="J40" i="39"/>
  <c r="K39" i="39"/>
  <c r="J39" i="39"/>
  <c r="K14" i="39"/>
  <c r="J14" i="39"/>
  <c r="K13" i="39"/>
  <c r="J13" i="39"/>
  <c r="O48" i="44"/>
  <c r="I48" i="44"/>
  <c r="J17" i="44"/>
  <c r="M42" i="45"/>
  <c r="M30" i="41"/>
  <c r="M32" i="41"/>
  <c r="J36" i="41"/>
  <c r="K18" i="45"/>
  <c r="H48" i="44"/>
  <c r="H52" i="44"/>
  <c r="H50" i="43"/>
  <c r="H54" i="43"/>
  <c r="M29" i="46"/>
  <c r="M35" i="41"/>
  <c r="M37" i="41"/>
  <c r="N29" i="46"/>
  <c r="O29" i="46"/>
  <c r="O35" i="41"/>
  <c r="O37" i="41"/>
  <c r="K8" i="46"/>
  <c r="I29" i="46"/>
  <c r="K8" i="44"/>
  <c r="J8" i="44"/>
  <c r="K27" i="49"/>
  <c r="J27" i="49"/>
  <c r="K36" i="48"/>
  <c r="J36" i="48"/>
  <c r="J27" i="47"/>
  <c r="K27" i="47"/>
  <c r="K28" i="46"/>
  <c r="J8" i="46"/>
  <c r="K15" i="46"/>
  <c r="L29" i="46"/>
  <c r="J15" i="46"/>
  <c r="E29" i="46"/>
  <c r="F29" i="46"/>
  <c r="G29" i="46"/>
  <c r="J28" i="46"/>
  <c r="H29" i="46"/>
  <c r="H33" i="46"/>
  <c r="I42" i="45"/>
  <c r="K8" i="45"/>
  <c r="L42" i="45"/>
  <c r="N42" i="45"/>
  <c r="G42" i="45"/>
  <c r="F42" i="45"/>
  <c r="H42" i="45"/>
  <c r="H46" i="45"/>
  <c r="K41" i="45"/>
  <c r="J8" i="45"/>
  <c r="J18" i="45"/>
  <c r="J41" i="45"/>
  <c r="K47" i="44"/>
  <c r="K17" i="44"/>
  <c r="J47" i="44"/>
  <c r="N50" i="43"/>
  <c r="O50" i="43"/>
  <c r="K8" i="43"/>
  <c r="J19" i="43"/>
  <c r="K49" i="43"/>
  <c r="M50" i="43"/>
  <c r="K19" i="43"/>
  <c r="F50" i="43"/>
  <c r="G50" i="43"/>
  <c r="E50" i="43"/>
  <c r="J8" i="43"/>
  <c r="J49" i="43"/>
  <c r="Q11" i="41"/>
  <c r="B51" i="41"/>
  <c r="B52" i="41"/>
  <c r="B53" i="41"/>
  <c r="B46" i="41"/>
  <c r="B47" i="41"/>
  <c r="B48" i="41"/>
  <c r="B40" i="41"/>
  <c r="B41" i="41"/>
  <c r="B42" i="41"/>
  <c r="A40" i="41"/>
  <c r="A41" i="41"/>
  <c r="A42" i="41"/>
  <c r="B35" i="41"/>
  <c r="B36" i="41"/>
  <c r="B37" i="41"/>
  <c r="B30" i="41"/>
  <c r="B31" i="41"/>
  <c r="B32" i="41"/>
  <c r="A30" i="41"/>
  <c r="A31" i="41"/>
  <c r="A32" i="41"/>
  <c r="I27" i="41"/>
  <c r="B19" i="41"/>
  <c r="B20" i="41"/>
  <c r="B21" i="41"/>
  <c r="J50" i="43"/>
  <c r="K50" i="43"/>
  <c r="J29" i="46"/>
  <c r="J40" i="41"/>
  <c r="J46" i="41"/>
  <c r="K36" i="41"/>
  <c r="J47" i="41"/>
  <c r="K29" i="41"/>
  <c r="J29" i="41"/>
  <c r="K30" i="41"/>
  <c r="J30" i="41"/>
  <c r="K14" i="41"/>
  <c r="J14" i="41"/>
  <c r="J23" i="41"/>
  <c r="J18" i="41"/>
  <c r="K18" i="41"/>
  <c r="K25" i="41"/>
  <c r="L53" i="41"/>
  <c r="E21" i="41"/>
  <c r="M21" i="41"/>
  <c r="L27" i="41"/>
  <c r="I32" i="41"/>
  <c r="J32" i="41"/>
  <c r="N32" i="41"/>
  <c r="O42" i="41"/>
  <c r="F21" i="41"/>
  <c r="N48" i="41"/>
  <c r="I37" i="41"/>
  <c r="F16" i="41"/>
  <c r="N27" i="41"/>
  <c r="O32" i="41"/>
  <c r="F13" i="41"/>
  <c r="F42" i="41"/>
  <c r="G16" i="41"/>
  <c r="O16" i="41"/>
  <c r="G37" i="41"/>
  <c r="G32" i="41"/>
  <c r="N53" i="41"/>
  <c r="M16" i="41"/>
  <c r="K29" i="46"/>
  <c r="J42" i="45"/>
  <c r="K42" i="45"/>
  <c r="J48" i="44"/>
  <c r="K48" i="44"/>
  <c r="I16" i="41"/>
  <c r="E13" i="41"/>
  <c r="E32" i="41"/>
  <c r="E53" i="41"/>
  <c r="L32" i="41"/>
  <c r="M48" i="41"/>
  <c r="L21" i="41"/>
  <c r="M53" i="41"/>
  <c r="J13" i="41"/>
  <c r="O73" i="39"/>
  <c r="N73" i="39"/>
  <c r="K71" i="39"/>
  <c r="J71" i="39"/>
  <c r="H66" i="39"/>
  <c r="F63" i="39"/>
  <c r="K61" i="39"/>
  <c r="J61" i="39"/>
  <c r="J60" i="39"/>
  <c r="K59" i="39"/>
  <c r="J59" i="39"/>
  <c r="K58" i="39"/>
  <c r="J58" i="39"/>
  <c r="K57" i="39"/>
  <c r="J57" i="39"/>
  <c r="O18" i="39"/>
  <c r="N18" i="39"/>
  <c r="N63" i="39"/>
  <c r="M18" i="39"/>
  <c r="M63" i="39"/>
  <c r="L63" i="39"/>
  <c r="I63" i="39"/>
  <c r="K17" i="39"/>
  <c r="J17" i="39"/>
  <c r="K16" i="39"/>
  <c r="J16" i="39"/>
  <c r="K15" i="39"/>
  <c r="J15" i="39"/>
  <c r="K12" i="39"/>
  <c r="J12" i="39"/>
  <c r="K10" i="39"/>
  <c r="J10" i="39"/>
  <c r="G8" i="39"/>
  <c r="F8" i="39"/>
  <c r="E8" i="39"/>
  <c r="K7" i="39"/>
  <c r="J7" i="39"/>
  <c r="K6" i="39"/>
  <c r="J6" i="39"/>
  <c r="K13" i="41"/>
  <c r="O63" i="39"/>
  <c r="J18" i="39"/>
  <c r="K18" i="39"/>
  <c r="K62" i="39"/>
  <c r="G63" i="39"/>
  <c r="H63" i="39"/>
  <c r="H67" i="39"/>
  <c r="K8" i="39"/>
  <c r="J8" i="39"/>
  <c r="J62" i="39"/>
  <c r="J63" i="39"/>
  <c r="K63" i="39"/>
  <c r="B101" i="18"/>
  <c r="B10" i="36"/>
  <c r="D14" i="35"/>
  <c r="C14" i="35"/>
  <c r="T31" i="33"/>
  <c r="R31" i="33"/>
  <c r="Q31" i="33"/>
  <c r="P10" i="33"/>
  <c r="P18" i="33"/>
  <c r="P19" i="33"/>
  <c r="P20" i="33"/>
  <c r="P21" i="33"/>
  <c r="P22" i="33"/>
  <c r="P23" i="33"/>
  <c r="P24" i="33"/>
  <c r="P25" i="33"/>
  <c r="P26" i="33"/>
  <c r="P27" i="33"/>
  <c r="P28" i="33"/>
  <c r="P29" i="33"/>
  <c r="P30" i="33"/>
  <c r="A12" i="33"/>
  <c r="A13" i="33"/>
  <c r="A14" i="33"/>
  <c r="A16" i="33"/>
  <c r="A17" i="33"/>
  <c r="A18" i="33"/>
  <c r="A19" i="33"/>
  <c r="A20" i="33"/>
  <c r="A21" i="33"/>
  <c r="A22" i="33"/>
  <c r="A23" i="33"/>
  <c r="A24" i="33"/>
  <c r="A25" i="33"/>
  <c r="A26" i="33"/>
  <c r="A27" i="33"/>
  <c r="A28" i="33"/>
  <c r="A29" i="33"/>
  <c r="A30" i="33"/>
  <c r="T29" i="32"/>
  <c r="R29" i="32"/>
  <c r="Q29" i="32"/>
  <c r="P11" i="32"/>
  <c r="P12" i="32"/>
  <c r="P18" i="32"/>
  <c r="P16" i="32"/>
  <c r="P13" i="32"/>
  <c r="P14" i="32"/>
  <c r="P17" i="32"/>
  <c r="P10" i="32"/>
  <c r="P19" i="32"/>
  <c r="P15" i="32"/>
  <c r="P20" i="32"/>
  <c r="P21" i="32"/>
  <c r="P22" i="32"/>
  <c r="P23" i="32"/>
  <c r="P24" i="32"/>
  <c r="P25" i="32"/>
  <c r="P26" i="32"/>
  <c r="P27" i="32"/>
  <c r="P28" i="32"/>
  <c r="H101" i="18"/>
  <c r="G101" i="18"/>
  <c r="F101" i="18"/>
  <c r="L28" i="10"/>
  <c r="J28" i="10"/>
  <c r="N26" i="10"/>
  <c r="N25" i="10"/>
  <c r="N24" i="10"/>
  <c r="N23" i="10"/>
  <c r="N22" i="10"/>
  <c r="N21" i="10"/>
  <c r="N20" i="10"/>
  <c r="N19" i="10"/>
  <c r="N18" i="10"/>
  <c r="N17" i="10"/>
  <c r="N16" i="10"/>
  <c r="N15" i="10"/>
  <c r="N14" i="10"/>
  <c r="N13" i="10"/>
  <c r="N12" i="10"/>
  <c r="N11" i="10"/>
  <c r="N10" i="10"/>
  <c r="N9" i="10"/>
  <c r="N28" i="10"/>
  <c r="P9" i="10"/>
  <c r="P10" i="10"/>
  <c r="P11" i="10"/>
  <c r="P12" i="10"/>
  <c r="P13" i="10"/>
  <c r="P14" i="10"/>
  <c r="P15" i="10"/>
  <c r="P16" i="10"/>
  <c r="P17" i="10"/>
  <c r="P18" i="10"/>
  <c r="P19" i="10"/>
  <c r="P20" i="10"/>
  <c r="P21" i="10"/>
  <c r="P22" i="10"/>
  <c r="P23" i="10"/>
  <c r="P24" i="10"/>
  <c r="P25" i="10"/>
  <c r="P26" i="10"/>
  <c r="A14" i="32"/>
  <c r="A15" i="32"/>
  <c r="A16" i="32"/>
  <c r="A17" i="32"/>
  <c r="A18" i="32"/>
  <c r="A19" i="32"/>
  <c r="K52" i="41"/>
  <c r="J52" i="41"/>
  <c r="I53" i="41"/>
  <c r="P31" i="33"/>
  <c r="A15" i="33"/>
  <c r="A20" i="32"/>
  <c r="A21" i="32"/>
  <c r="A22" i="32"/>
  <c r="A23" i="32"/>
  <c r="A24" i="32"/>
  <c r="A25" i="32"/>
  <c r="A26" i="32"/>
  <c r="A27" i="32"/>
  <c r="A28" i="32"/>
  <c r="P29" i="32"/>
  <c r="P31" i="32"/>
  <c r="Q128" i="41"/>
  <c r="J145" i="41"/>
  <c r="I98" i="41"/>
  <c r="J98" i="41"/>
  <c r="K112" i="41"/>
  <c r="H108" i="41"/>
  <c r="Q108" i="41"/>
  <c r="H53" i="41"/>
  <c r="J53" i="41"/>
  <c r="J91" i="41"/>
  <c r="N108" i="41"/>
  <c r="G143" i="41"/>
  <c r="K57" i="41"/>
  <c r="K87" i="41"/>
  <c r="I118" i="41"/>
  <c r="H138" i="41"/>
  <c r="K138" i="41"/>
  <c r="J117" i="41"/>
  <c r="H16" i="41"/>
  <c r="J16" i="41"/>
  <c r="K16" i="41"/>
  <c r="K31" i="41"/>
  <c r="J15" i="41"/>
  <c r="E48" i="41"/>
  <c r="J65" i="41"/>
  <c r="O108" i="41"/>
  <c r="Q63" i="41"/>
  <c r="H48" i="41"/>
  <c r="E138" i="41"/>
  <c r="K51" i="41"/>
  <c r="K77" i="41"/>
  <c r="K105" i="41"/>
  <c r="K121" i="41"/>
  <c r="H148" i="41"/>
  <c r="Q148" i="41"/>
  <c r="H133" i="41"/>
  <c r="H83" i="41"/>
  <c r="Q83" i="41"/>
  <c r="H27" i="41"/>
  <c r="K27" i="41"/>
  <c r="J121" i="41"/>
  <c r="J112" i="41"/>
  <c r="I93" i="41"/>
  <c r="J93" i="41"/>
  <c r="Q16" i="41"/>
  <c r="J51" i="41"/>
  <c r="E37" i="41"/>
  <c r="E153" i="41"/>
  <c r="G42" i="41"/>
  <c r="G153" i="41"/>
  <c r="F53" i="41"/>
  <c r="E58" i="41"/>
  <c r="E63" i="41"/>
  <c r="G68" i="41"/>
  <c r="Q68" i="41"/>
  <c r="G73" i="41"/>
  <c r="G93" i="41"/>
  <c r="E103" i="41"/>
  <c r="G113" i="41"/>
  <c r="Q113" i="41"/>
  <c r="F118" i="41"/>
  <c r="E123" i="41"/>
  <c r="M27" i="41"/>
  <c r="L42" i="41"/>
  <c r="L155" i="41"/>
  <c r="O53" i="41"/>
  <c r="L58" i="41"/>
  <c r="O58" i="41"/>
  <c r="L68" i="41"/>
  <c r="O68" i="41"/>
  <c r="O73" i="41"/>
  <c r="O78" i="41"/>
  <c r="O113" i="41"/>
  <c r="L118" i="41"/>
  <c r="O118" i="41"/>
  <c r="L128" i="41"/>
  <c r="N128" i="41"/>
  <c r="N133" i="41"/>
  <c r="K146" i="41"/>
  <c r="I108" i="41"/>
  <c r="K108" i="41"/>
  <c r="K66" i="41"/>
  <c r="J25" i="41"/>
  <c r="K88" i="41"/>
  <c r="N37" i="41"/>
  <c r="J97" i="41"/>
  <c r="F27" i="41"/>
  <c r="N73" i="41"/>
  <c r="N155" i="41"/>
  <c r="N78" i="41"/>
  <c r="M133" i="41"/>
  <c r="O148" i="41"/>
  <c r="K137" i="41"/>
  <c r="M98" i="41"/>
  <c r="J142" i="41"/>
  <c r="H93" i="41"/>
  <c r="H37" i="41"/>
  <c r="K37" i="41"/>
  <c r="K20" i="41"/>
  <c r="I143" i="41"/>
  <c r="K143" i="41"/>
  <c r="K101" i="41"/>
  <c r="K61" i="41"/>
  <c r="K115" i="41"/>
  <c r="K75" i="41"/>
  <c r="J34" i="41"/>
  <c r="F153" i="41"/>
  <c r="K128" i="41"/>
  <c r="J128" i="41"/>
  <c r="Q53" i="41"/>
  <c r="K48" i="41"/>
  <c r="J48" i="41"/>
  <c r="J58" i="41"/>
  <c r="K58" i="41"/>
  <c r="Q48" i="41"/>
  <c r="J113" i="41"/>
  <c r="K113" i="41"/>
  <c r="K7" i="41"/>
  <c r="J7" i="41"/>
  <c r="Q133" i="41"/>
  <c r="J133" i="41"/>
  <c r="K133" i="41"/>
  <c r="Q27" i="41"/>
  <c r="K93" i="41"/>
  <c r="K98" i="41"/>
  <c r="Q98" i="41"/>
  <c r="Q42" i="41"/>
  <c r="Q143" i="41"/>
  <c r="Q21" i="41"/>
  <c r="Q93" i="41"/>
  <c r="J50" i="41"/>
  <c r="I63" i="41"/>
  <c r="K32" i="41"/>
  <c r="J20" i="41"/>
  <c r="J19" i="41"/>
  <c r="Q88" i="41"/>
  <c r="J61" i="41"/>
  <c r="J82" i="41"/>
  <c r="J137" i="41"/>
  <c r="J102" i="41"/>
  <c r="J101" i="41"/>
  <c r="I42" i="41"/>
  <c r="I68" i="41"/>
  <c r="I83" i="41"/>
  <c r="K90" i="41"/>
  <c r="I103" i="41"/>
  <c r="I123" i="41"/>
  <c r="K131" i="41"/>
  <c r="H118" i="41"/>
  <c r="H78" i="41"/>
  <c r="K9" i="41"/>
  <c r="Q7" i="41"/>
  <c r="J41" i="41"/>
  <c r="K35" i="41"/>
  <c r="J122" i="41"/>
  <c r="J66" i="41"/>
  <c r="J76" i="41"/>
  <c r="K45" i="41"/>
  <c r="K106" i="41"/>
  <c r="J80" i="41"/>
  <c r="J39" i="41"/>
  <c r="J35" i="41"/>
  <c r="J26" i="41"/>
  <c r="J27" i="41"/>
  <c r="J75" i="41"/>
  <c r="J115" i="41"/>
  <c r="K120" i="41"/>
  <c r="K141" i="41"/>
  <c r="J130" i="41"/>
  <c r="J67" i="41"/>
  <c r="K47" i="41"/>
  <c r="I148" i="41"/>
  <c r="J131" i="41"/>
  <c r="I21" i="41"/>
  <c r="H40" i="53"/>
  <c r="H72" i="41"/>
  <c r="K39" i="53"/>
  <c r="J39" i="53"/>
  <c r="J143" i="41"/>
  <c r="J108" i="41"/>
  <c r="Q37" i="41"/>
  <c r="J138" i="41"/>
  <c r="O155" i="41"/>
  <c r="Q138" i="41"/>
  <c r="K53" i="41"/>
  <c r="M155" i="41"/>
  <c r="J37" i="41"/>
  <c r="K42" i="41"/>
  <c r="J42" i="41"/>
  <c r="K118" i="41"/>
  <c r="Q118" i="41"/>
  <c r="K78" i="41"/>
  <c r="Q78" i="41"/>
  <c r="J118" i="41"/>
  <c r="J148" i="41"/>
  <c r="K148" i="41"/>
  <c r="K123" i="41"/>
  <c r="J123" i="41"/>
  <c r="J63" i="41"/>
  <c r="K63" i="41"/>
  <c r="K103" i="41"/>
  <c r="J103" i="41"/>
  <c r="J78" i="41"/>
  <c r="K21" i="41"/>
  <c r="J21" i="41"/>
  <c r="K83" i="41"/>
  <c r="J83" i="41"/>
  <c r="K68" i="41"/>
  <c r="J68" i="41"/>
  <c r="H73" i="41"/>
  <c r="K72" i="41"/>
  <c r="J72" i="41"/>
  <c r="H44" i="53"/>
  <c r="J40" i="53"/>
  <c r="K40" i="53"/>
  <c r="H153" i="41"/>
  <c r="H154" i="41"/>
  <c r="K73" i="41"/>
  <c r="Q73" i="41"/>
  <c r="J73" i="41"/>
  <c r="H155" i="41"/>
  <c r="I5" i="41"/>
  <c r="I153" i="41"/>
  <c r="I155" i="41"/>
  <c r="K5" i="41"/>
  <c r="J5" i="41"/>
  <c r="J153" i="41"/>
  <c r="J155" i="41"/>
</calcChain>
</file>

<file path=xl/sharedStrings.xml><?xml version="1.0" encoding="utf-8"?>
<sst xmlns="http://schemas.openxmlformats.org/spreadsheetml/2006/main" count="4207" uniqueCount="1151">
  <si>
    <t>BIOL01 Biology</t>
  </si>
  <si>
    <t>DSGN01 Design (Graphic/Info) Department</t>
  </si>
  <si>
    <t>FINC01 Finance</t>
  </si>
  <si>
    <t>EDLD01 Ed Leadership, Policy &amp; Instr</t>
  </si>
  <si>
    <t>INFO01 Information Technology Services</t>
  </si>
  <si>
    <t>INFO02 Student Technology Center</t>
  </si>
  <si>
    <t>INFO03 Info Tech Serv-User Support Serv</t>
  </si>
  <si>
    <t>INFO04 Info Tech Serv - Admin Tech Serv</t>
  </si>
  <si>
    <t>INFO05 Info Tech Serv - Technical Services</t>
  </si>
  <si>
    <t>INFO06 Info Tech Serv - Enterprise Sys Serv</t>
  </si>
  <si>
    <t>University Assistant</t>
  </si>
  <si>
    <t>Educational Supplies</t>
  </si>
  <si>
    <t>Education Equipment Repairs</t>
  </si>
  <si>
    <t>Maintenance General Supplies</t>
  </si>
  <si>
    <t>Grounds and Landscape Supplies</t>
  </si>
  <si>
    <t>Telecom Recurring Charges</t>
  </si>
  <si>
    <t>Telecom Toll Charges</t>
  </si>
  <si>
    <t>Contract Office Supplies</t>
  </si>
  <si>
    <t>Food</t>
  </si>
  <si>
    <t>Other Supplies</t>
  </si>
  <si>
    <t>Postage</t>
  </si>
  <si>
    <t>Fleet Pool</t>
  </si>
  <si>
    <t>Sub-Total Operating Expenses</t>
  </si>
  <si>
    <t>Total</t>
  </si>
  <si>
    <t>CENTRAL CONNECTICUT STATE UNIVERSITY</t>
  </si>
  <si>
    <t>FY 2018 BUDGET CHANGE EXECUTIVE SUMMARY</t>
  </si>
  <si>
    <t>(Type in Functional Area)</t>
  </si>
  <si>
    <t>One-Time &amp; Capital Requests</t>
  </si>
  <si>
    <t>Fiscal Year</t>
  </si>
  <si>
    <t>Priority</t>
  </si>
  <si>
    <t>Area</t>
  </si>
  <si>
    <t>Description</t>
  </si>
  <si>
    <t># of Items</t>
  </si>
  <si>
    <t>Cost Per Item</t>
  </si>
  <si>
    <t>One-Time</t>
  </si>
  <si>
    <t>Capital</t>
  </si>
  <si>
    <t>Total Request</t>
  </si>
  <si>
    <t>"Running" Total</t>
  </si>
  <si>
    <t>Summary of Impact</t>
  </si>
  <si>
    <t>1</t>
  </si>
  <si>
    <t>2</t>
  </si>
  <si>
    <t>3</t>
  </si>
  <si>
    <t>4</t>
  </si>
  <si>
    <t>5</t>
  </si>
  <si>
    <t>6</t>
  </si>
  <si>
    <t>7</t>
  </si>
  <si>
    <t>8</t>
  </si>
  <si>
    <t>9</t>
  </si>
  <si>
    <t>10</t>
  </si>
  <si>
    <t>11</t>
  </si>
  <si>
    <t>12</t>
  </si>
  <si>
    <t>13</t>
  </si>
  <si>
    <t>14</t>
  </si>
  <si>
    <t>15</t>
  </si>
  <si>
    <t>16</t>
  </si>
  <si>
    <t>17</t>
  </si>
  <si>
    <t>18</t>
  </si>
  <si>
    <t>Identify the fiscal year that the request will be received/paid in under the column "Fiscal Year".  If the request crosses multiple fiscal years identify the amount for each fiscal year.</t>
  </si>
  <si>
    <t xml:space="preserve"> Due to possible tax implications, do not include any Capital Requests for ITBD, student center, food service/dining halls, bookstore or residence life.  These requests should be included under the One-Time category only.</t>
  </si>
  <si>
    <t xml:space="preserve"> Do not include requests for technology type items that cannot be supported by IT.</t>
  </si>
  <si>
    <t xml:space="preserve"> Do not include requests that would be considered a project - these requests should be submitted to the Chief Administrative Officer.</t>
  </si>
  <si>
    <t xml:space="preserve">   </t>
  </si>
  <si>
    <t>Budget/Budget FY18/Budget Instructions/FY18 OneTime-Capital Request (Revised One-Time &amp; Capital)</t>
  </si>
  <si>
    <t>Course Scheduling</t>
  </si>
  <si>
    <t>Increased Financial Aid</t>
  </si>
  <si>
    <t>Graduation Rate</t>
  </si>
  <si>
    <t>Scholarship &amp; Creative Activity</t>
  </si>
  <si>
    <t>Community Engagement</t>
  </si>
  <si>
    <t>Grants and Contracts</t>
  </si>
  <si>
    <t>Annual Gifts</t>
  </si>
  <si>
    <t>Improved EI Incoming FTF</t>
  </si>
  <si>
    <t>Description:</t>
  </si>
  <si>
    <t>Gain/Loss on Disposal of Assets</t>
  </si>
  <si>
    <t>785000</t>
  </si>
  <si>
    <t>Construction in Process</t>
  </si>
  <si>
    <t>784900</t>
  </si>
  <si>
    <t>Telecom Infrastructure</t>
  </si>
  <si>
    <t>784604</t>
  </si>
  <si>
    <t>Telecom Voice Equipment</t>
  </si>
  <si>
    <t>784603</t>
  </si>
  <si>
    <t>Telecom Video Equipment</t>
  </si>
  <si>
    <t>784602</t>
  </si>
  <si>
    <t>Telecom Data Equipment</t>
  </si>
  <si>
    <t>784601</t>
  </si>
  <si>
    <t>Research Equipment</t>
  </si>
  <si>
    <t>784505</t>
  </si>
  <si>
    <t>Periodicals</t>
  </si>
  <si>
    <t>784504</t>
  </si>
  <si>
    <t>Other Library Materials</t>
  </si>
  <si>
    <t>784503</t>
  </si>
  <si>
    <t>Library Books</t>
  </si>
  <si>
    <t>784502</t>
  </si>
  <si>
    <t>Educational Equipment</t>
  </si>
  <si>
    <t>784501</t>
  </si>
  <si>
    <t>Software</t>
  </si>
  <si>
    <t>784402</t>
  </si>
  <si>
    <t>Computer Equipment</t>
  </si>
  <si>
    <t>784401</t>
  </si>
  <si>
    <t>Environ/Safety Equipment Capital</t>
  </si>
  <si>
    <t>784309</t>
  </si>
  <si>
    <t>Miscellaneous Equipment</t>
  </si>
  <si>
    <t>784308</t>
  </si>
  <si>
    <t>Office Equipment</t>
  </si>
  <si>
    <t>784307</t>
  </si>
  <si>
    <t>Motor Vehicles</t>
  </si>
  <si>
    <t>784306</t>
  </si>
  <si>
    <t>Hospital, Medical &amp; Surgical Equip</t>
  </si>
  <si>
    <t>784305</t>
  </si>
  <si>
    <t>Furniture and Furnishings</t>
  </si>
  <si>
    <t>784304</t>
  </si>
  <si>
    <t>Fine Arts</t>
  </si>
  <si>
    <t>784303</t>
  </si>
  <si>
    <t>Carpet and Window Treatments</t>
  </si>
  <si>
    <t>784302</t>
  </si>
  <si>
    <t>Boats and Aircraft</t>
  </si>
  <si>
    <t>784301</t>
  </si>
  <si>
    <t>Building Equipment and Systems</t>
  </si>
  <si>
    <t>784203</t>
  </si>
  <si>
    <t>Building Improvement</t>
  </si>
  <si>
    <t>784202</t>
  </si>
  <si>
    <t>Buildings</t>
  </si>
  <si>
    <t>784201</t>
  </si>
  <si>
    <t>Land Improvements</t>
  </si>
  <si>
    <t>784102</t>
  </si>
  <si>
    <t>Land</t>
  </si>
  <si>
    <t>784101</t>
  </si>
  <si>
    <t>Amortization</t>
  </si>
  <si>
    <t>783200</t>
  </si>
  <si>
    <t>Depreciation</t>
  </si>
  <si>
    <t>783100</t>
  </si>
  <si>
    <t>Issuance Costs</t>
  </si>
  <si>
    <t>782125</t>
  </si>
  <si>
    <t>Amortization of Discount &amp; Premium</t>
  </si>
  <si>
    <t>782120</t>
  </si>
  <si>
    <t>Interest Expense</t>
  </si>
  <si>
    <t>782115</t>
  </si>
  <si>
    <t>Principal Payments</t>
  </si>
  <si>
    <t>782110</t>
  </si>
  <si>
    <t>Interest Penalty</t>
  </si>
  <si>
    <t>782105</t>
  </si>
  <si>
    <t>Arbitrage Rebate</t>
  </si>
  <si>
    <t>782100</t>
  </si>
  <si>
    <t>Cap Lease-Real Estate Property</t>
  </si>
  <si>
    <t>781120</t>
  </si>
  <si>
    <t>Cap Lease-Other Personal Property</t>
  </si>
  <si>
    <t>781115</t>
  </si>
  <si>
    <t>Cap Lease-Other Equipment</t>
  </si>
  <si>
    <t>781105</t>
  </si>
  <si>
    <t>Cap Lease-Copy Machines</t>
  </si>
  <si>
    <t>781100</t>
  </si>
  <si>
    <t>Fed Unrelated Business Income Tax</t>
  </si>
  <si>
    <t>774140</t>
  </si>
  <si>
    <t>Miscellaneous Expenses</t>
  </si>
  <si>
    <t>774130</t>
  </si>
  <si>
    <t>Indirect Overhead</t>
  </si>
  <si>
    <t>774120</t>
  </si>
  <si>
    <t>Transfers of Grants</t>
  </si>
  <si>
    <t>774110</t>
  </si>
  <si>
    <t>Commodities for Resale</t>
  </si>
  <si>
    <t>774100</t>
  </si>
  <si>
    <t>Translation &amp; Interpretation Serv</t>
  </si>
  <si>
    <t>773160</t>
  </si>
  <si>
    <t>Laboratory Testing and Services</t>
  </si>
  <si>
    <t>773155</t>
  </si>
  <si>
    <t>Delivery Services</t>
  </si>
  <si>
    <t>773150</t>
  </si>
  <si>
    <t>Oper Lease-Real Estate Property</t>
  </si>
  <si>
    <t>773145</t>
  </si>
  <si>
    <t>Oper Lease-Other Personal Property</t>
  </si>
  <si>
    <t>773144</t>
  </si>
  <si>
    <t>Oper Lease-Bus Service</t>
  </si>
  <si>
    <t>773143</t>
  </si>
  <si>
    <t>Oper Lease-Other Equipment</t>
  </si>
  <si>
    <t>773142</t>
  </si>
  <si>
    <t>Oper Lease-Copy Machines</t>
  </si>
  <si>
    <t>773141</t>
  </si>
  <si>
    <t>Motor Vehicle Rentals</t>
  </si>
  <si>
    <t>773135</t>
  </si>
  <si>
    <t>773130</t>
  </si>
  <si>
    <t>Bus and Shuttle Services</t>
  </si>
  <si>
    <t>773125</t>
  </si>
  <si>
    <t>773120</t>
  </si>
  <si>
    <t>Freight and Storage</t>
  </si>
  <si>
    <t>773115</t>
  </si>
  <si>
    <t>Duplicating Services</t>
  </si>
  <si>
    <t>773110</t>
  </si>
  <si>
    <t>Forms Printing</t>
  </si>
  <si>
    <t>773105</t>
  </si>
  <si>
    <t>Printing and Binding</t>
  </si>
  <si>
    <t>773100</t>
  </si>
  <si>
    <t>Hazardous Material Supplies</t>
  </si>
  <si>
    <t>772155</t>
  </si>
  <si>
    <t>Promotional Supplies</t>
  </si>
  <si>
    <t>772150</t>
  </si>
  <si>
    <t>Personal Supplies</t>
  </si>
  <si>
    <t>772145</t>
  </si>
  <si>
    <t>772140</t>
  </si>
  <si>
    <t>Medical Supplies</t>
  </si>
  <si>
    <t>772135</t>
  </si>
  <si>
    <t>Law Enforcement Supplies</t>
  </si>
  <si>
    <t>772130</t>
  </si>
  <si>
    <t>Laboratory Supplies</t>
  </si>
  <si>
    <t>772125</t>
  </si>
  <si>
    <t>772120</t>
  </si>
  <si>
    <t>Environ/Safety Purchases Non-cap</t>
  </si>
  <si>
    <t>772118</t>
  </si>
  <si>
    <t>Furniture &amp; Furnishings Non-capital</t>
  </si>
  <si>
    <t>772117</t>
  </si>
  <si>
    <t>Carpet &amp; Window Treatments Non-cap</t>
  </si>
  <si>
    <t>772116</t>
  </si>
  <si>
    <t>Equipment Purchases Non-capital</t>
  </si>
  <si>
    <t>772115</t>
  </si>
  <si>
    <t>Drugs</t>
  </si>
  <si>
    <t>772110</t>
  </si>
  <si>
    <t>Compressed Gasses</t>
  </si>
  <si>
    <t>772105</t>
  </si>
  <si>
    <t>Clothing</t>
  </si>
  <si>
    <t>772100</t>
  </si>
  <si>
    <t>Data Processing Supplies</t>
  </si>
  <si>
    <t>771115</t>
  </si>
  <si>
    <t>771110</t>
  </si>
  <si>
    <t>Copier Paper and Supplies</t>
  </si>
  <si>
    <t>771105</t>
  </si>
  <si>
    <t>Office Supplies</t>
  </si>
  <si>
    <t>771100</t>
  </si>
  <si>
    <t>Telecom Conference Call Charges</t>
  </si>
  <si>
    <t>764140</t>
  </si>
  <si>
    <t>Telecom Local Charges</t>
  </si>
  <si>
    <t>764130</t>
  </si>
  <si>
    <t>764120</t>
  </si>
  <si>
    <t>764110</t>
  </si>
  <si>
    <t>Cellular Service</t>
  </si>
  <si>
    <t>764104</t>
  </si>
  <si>
    <t>Telephone, Telegram and Fax</t>
  </si>
  <si>
    <t>764100</t>
  </si>
  <si>
    <t>Telecom Wiring and Repairs</t>
  </si>
  <si>
    <t>763105</t>
  </si>
  <si>
    <t>Telecom Maintenance</t>
  </si>
  <si>
    <t>763100</t>
  </si>
  <si>
    <t>Telecom Software</t>
  </si>
  <si>
    <t>762100</t>
  </si>
  <si>
    <t>Telecom Network Services</t>
  </si>
  <si>
    <t>761105</t>
  </si>
  <si>
    <t>Telecom Cellular Equipment</t>
  </si>
  <si>
    <t>761104</t>
  </si>
  <si>
    <t>Telecom Equip Purchase Non-capital</t>
  </si>
  <si>
    <t>761100</t>
  </si>
  <si>
    <t>Data Processing Service Bureau</t>
  </si>
  <si>
    <t>753105</t>
  </si>
  <si>
    <t>Data Processing Services</t>
  </si>
  <si>
    <t>753100</t>
  </si>
  <si>
    <t>Software Purchases</t>
  </si>
  <si>
    <t>752115</t>
  </si>
  <si>
    <t>Software Support</t>
  </si>
  <si>
    <t>752110</t>
  </si>
  <si>
    <t>Software Maintenance</t>
  </si>
  <si>
    <t>752105</t>
  </si>
  <si>
    <t>Software Licenses</t>
  </si>
  <si>
    <t>752100</t>
  </si>
  <si>
    <t>Hardware Maintenance</t>
  </si>
  <si>
    <t>751110</t>
  </si>
  <si>
    <t>Equipment Rentals</t>
  </si>
  <si>
    <t>751105</t>
  </si>
  <si>
    <t>Hardware Purchases Non-capital</t>
  </si>
  <si>
    <t>751100</t>
  </si>
  <si>
    <t>Architect/Engineering Services</t>
  </si>
  <si>
    <t>745130</t>
  </si>
  <si>
    <t>Appraisal Services</t>
  </si>
  <si>
    <t>745125</t>
  </si>
  <si>
    <t>Environmental/Safety Services</t>
  </si>
  <si>
    <t>745120</t>
  </si>
  <si>
    <t>Laundry and Dry Cleaning</t>
  </si>
  <si>
    <t>745115</t>
  </si>
  <si>
    <t>Janitorial Services</t>
  </si>
  <si>
    <t>745110</t>
  </si>
  <si>
    <t>Other Purchased Services</t>
  </si>
  <si>
    <t>745105</t>
  </si>
  <si>
    <t>Non-Reportable Rents</t>
  </si>
  <si>
    <t>745101</t>
  </si>
  <si>
    <t>Reportable Rents</t>
  </si>
  <si>
    <t>745100</t>
  </si>
  <si>
    <t>Signage</t>
  </si>
  <si>
    <t>744140</t>
  </si>
  <si>
    <t>Motor Vehicle Parts</t>
  </si>
  <si>
    <t>744135</t>
  </si>
  <si>
    <t>Motor Vehicle Supplies</t>
  </si>
  <si>
    <t>744130</t>
  </si>
  <si>
    <t>744125</t>
  </si>
  <si>
    <t>Tools</t>
  </si>
  <si>
    <t>744120</t>
  </si>
  <si>
    <t>Repair Materials</t>
  </si>
  <si>
    <t>744115</t>
  </si>
  <si>
    <t>744110</t>
  </si>
  <si>
    <t>Maintenance Cleaning Supplies</t>
  </si>
  <si>
    <t>744105</t>
  </si>
  <si>
    <t>Maintenance Paper Supplies</t>
  </si>
  <si>
    <t>744100</t>
  </si>
  <si>
    <t>Motor Vehicle Repairs</t>
  </si>
  <si>
    <t>743500</t>
  </si>
  <si>
    <t>743400</t>
  </si>
  <si>
    <t>Office Equipment Repairs</t>
  </si>
  <si>
    <t>743300</t>
  </si>
  <si>
    <t>Building Equipment Repairs</t>
  </si>
  <si>
    <t>743200</t>
  </si>
  <si>
    <t>General Maintenance Repairs</t>
  </si>
  <si>
    <t>743100</t>
  </si>
  <si>
    <t>Diesel</t>
  </si>
  <si>
    <t>742125</t>
  </si>
  <si>
    <t>Gasoline</t>
  </si>
  <si>
    <t>742120</t>
  </si>
  <si>
    <t>Fuel Oil #1</t>
  </si>
  <si>
    <t>742115</t>
  </si>
  <si>
    <t>Fuel Oil #6</t>
  </si>
  <si>
    <t>742110</t>
  </si>
  <si>
    <t>Fuel Oil #4</t>
  </si>
  <si>
    <t>742105</t>
  </si>
  <si>
    <t>Fuel Oil #2</t>
  </si>
  <si>
    <t>742100</t>
  </si>
  <si>
    <t>Sewer</t>
  </si>
  <si>
    <t>741125</t>
  </si>
  <si>
    <t>Water</t>
  </si>
  <si>
    <t>741120</t>
  </si>
  <si>
    <t>Natural Gas</t>
  </si>
  <si>
    <t>741115</t>
  </si>
  <si>
    <t>Electricity</t>
  </si>
  <si>
    <t>741110</t>
  </si>
  <si>
    <t>Refuse Removal</t>
  </si>
  <si>
    <t>741105</t>
  </si>
  <si>
    <t>Cable TV /Internet Services</t>
  </si>
  <si>
    <t>741100</t>
  </si>
  <si>
    <t>Candidate Reimbursement</t>
  </si>
  <si>
    <t>732300</t>
  </si>
  <si>
    <t>Professional Dvlpmnt - Internationa</t>
  </si>
  <si>
    <t>732225</t>
  </si>
  <si>
    <t>Professional Development OS</t>
  </si>
  <si>
    <t>732220</t>
  </si>
  <si>
    <t>Professional Development IS</t>
  </si>
  <si>
    <t>732215</t>
  </si>
  <si>
    <t>Training - Non Employee</t>
  </si>
  <si>
    <t>732210</t>
  </si>
  <si>
    <t>Employee Training OS</t>
  </si>
  <si>
    <t>732205</t>
  </si>
  <si>
    <t>Employee Training IS</t>
  </si>
  <si>
    <t>732200</t>
  </si>
  <si>
    <t>Personal Vehicle Mile Reimbursement</t>
  </si>
  <si>
    <t>732115</t>
  </si>
  <si>
    <t>Travel - International</t>
  </si>
  <si>
    <t>732110</t>
  </si>
  <si>
    <t>Travel - Out of State</t>
  </si>
  <si>
    <t>732105</t>
  </si>
  <si>
    <t>Travel - In State</t>
  </si>
  <si>
    <t>732100</t>
  </si>
  <si>
    <t>Athletic Recruiting International</t>
  </si>
  <si>
    <t>731210</t>
  </si>
  <si>
    <t>Athletic Recruiting OS</t>
  </si>
  <si>
    <t>731205</t>
  </si>
  <si>
    <t>Athletic Recruiting IS</t>
  </si>
  <si>
    <t>731200</t>
  </si>
  <si>
    <t>Team Travel OS</t>
  </si>
  <si>
    <t>731105</t>
  </si>
  <si>
    <t>Team Travel IS</t>
  </si>
  <si>
    <t>731100</t>
  </si>
  <si>
    <t>Other Fees</t>
  </si>
  <si>
    <t>723130</t>
  </si>
  <si>
    <t>Convenience Fee</t>
  </si>
  <si>
    <t>723125</t>
  </si>
  <si>
    <t>Credit Card Fees</t>
  </si>
  <si>
    <t>723120</t>
  </si>
  <si>
    <t>Collection Fees</t>
  </si>
  <si>
    <t>723110</t>
  </si>
  <si>
    <t>Bank Charges</t>
  </si>
  <si>
    <t>723100</t>
  </si>
  <si>
    <t>Licenses</t>
  </si>
  <si>
    <t>722110</t>
  </si>
  <si>
    <t>Subscriptions</t>
  </si>
  <si>
    <t>722105</t>
  </si>
  <si>
    <t>Dues and Memberships</t>
  </si>
  <si>
    <t>722100</t>
  </si>
  <si>
    <t>Temporary Agency Office Services</t>
  </si>
  <si>
    <t>721160</t>
  </si>
  <si>
    <t>Subcontracts</t>
  </si>
  <si>
    <t>721155</t>
  </si>
  <si>
    <t>Research Participant Stipends</t>
  </si>
  <si>
    <t>721152</t>
  </si>
  <si>
    <t>Graduate Student Assoc Stipends</t>
  </si>
  <si>
    <t>721151</t>
  </si>
  <si>
    <t>Teacher and Lecturer Stipends</t>
  </si>
  <si>
    <t>721150</t>
  </si>
  <si>
    <t>Athletes &amp; Entertainers Appearances</t>
  </si>
  <si>
    <t>721146</t>
  </si>
  <si>
    <t>Professional Services - Other</t>
  </si>
  <si>
    <t>721145</t>
  </si>
  <si>
    <t>Non Professional Services - Other</t>
  </si>
  <si>
    <t>721140</t>
  </si>
  <si>
    <t>Medical Service</t>
  </si>
  <si>
    <t>721135</t>
  </si>
  <si>
    <t>Legal Services</t>
  </si>
  <si>
    <t>721130</t>
  </si>
  <si>
    <t>Insurance</t>
  </si>
  <si>
    <t>721125</t>
  </si>
  <si>
    <t>Honoraria and Lecturer</t>
  </si>
  <si>
    <t>721120</t>
  </si>
  <si>
    <t>Consulting Services</t>
  </si>
  <si>
    <t>721115</t>
  </si>
  <si>
    <t>Auditing Service</t>
  </si>
  <si>
    <t>721110</t>
  </si>
  <si>
    <t>Advertising</t>
  </si>
  <si>
    <t>721105</t>
  </si>
  <si>
    <t>Personnel Advertising</t>
  </si>
  <si>
    <t>721100</t>
  </si>
  <si>
    <t>AAUP Research Grant-Misc Payments</t>
  </si>
  <si>
    <t>713150</t>
  </si>
  <si>
    <t>Employee Educational Costs-Non Rpt</t>
  </si>
  <si>
    <t>713145</t>
  </si>
  <si>
    <t>Electronic Media</t>
  </si>
  <si>
    <t>713140</t>
  </si>
  <si>
    <t>713135</t>
  </si>
  <si>
    <t>Consuls Support</t>
  </si>
  <si>
    <t>713130</t>
  </si>
  <si>
    <t>Books</t>
  </si>
  <si>
    <t>713125</t>
  </si>
  <si>
    <t>Diplomas</t>
  </si>
  <si>
    <t>713120</t>
  </si>
  <si>
    <t>Animal Care</t>
  </si>
  <si>
    <t>713115</t>
  </si>
  <si>
    <t>Accreditation</t>
  </si>
  <si>
    <t>713110</t>
  </si>
  <si>
    <t>Film Rentals</t>
  </si>
  <si>
    <t>713105</t>
  </si>
  <si>
    <t>Conferences-Food Service</t>
  </si>
  <si>
    <t>713101</t>
  </si>
  <si>
    <t>Conferences</t>
  </si>
  <si>
    <t>713100</t>
  </si>
  <si>
    <t>Resident Assistant Food</t>
  </si>
  <si>
    <t>712105</t>
  </si>
  <si>
    <t>Food Service Contract</t>
  </si>
  <si>
    <t>712100</t>
  </si>
  <si>
    <t>P &amp; I Cancel 9/11/2001 Survivors</t>
  </si>
  <si>
    <t>711621</t>
  </si>
  <si>
    <t>Perkins Loan Expense</t>
  </si>
  <si>
    <t>711600</t>
  </si>
  <si>
    <t>Bad Debt Expense</t>
  </si>
  <si>
    <t>711500</t>
  </si>
  <si>
    <t>Grants &amp; Financial Aid, Non Need Ba</t>
  </si>
  <si>
    <t>711405</t>
  </si>
  <si>
    <t>Grants &amp; Financial Aid, Need Based</t>
  </si>
  <si>
    <t>711400</t>
  </si>
  <si>
    <t>Fellowships</t>
  </si>
  <si>
    <t>711300</t>
  </si>
  <si>
    <t>Direct Lending</t>
  </si>
  <si>
    <t>711200</t>
  </si>
  <si>
    <t>Waivers</t>
  </si>
  <si>
    <t>711100</t>
  </si>
  <si>
    <t>Accrued Salary Fringe</t>
  </si>
  <si>
    <t>626300</t>
  </si>
  <si>
    <t>OPEB Employer Matching Contribution</t>
  </si>
  <si>
    <t>626250</t>
  </si>
  <si>
    <t>Retirement Incentive Payout Fringe</t>
  </si>
  <si>
    <t>626210</t>
  </si>
  <si>
    <t>Compensated Absence Fringe</t>
  </si>
  <si>
    <t>626200</t>
  </si>
  <si>
    <t>Teachers Retirement</t>
  </si>
  <si>
    <t>626173</t>
  </si>
  <si>
    <t>Alternate Retirement Plan</t>
  </si>
  <si>
    <t>626172</t>
  </si>
  <si>
    <t>State Employees Retirement System</t>
  </si>
  <si>
    <t>626171</t>
  </si>
  <si>
    <t>Medicare Taxes</t>
  </si>
  <si>
    <t>626142</t>
  </si>
  <si>
    <t>FICA</t>
  </si>
  <si>
    <t>626141</t>
  </si>
  <si>
    <t>Unemployment Compensation</t>
  </si>
  <si>
    <t>626130</t>
  </si>
  <si>
    <t>Medical Insurance</t>
  </si>
  <si>
    <t>626120</t>
  </si>
  <si>
    <t>Group Life Insurance</t>
  </si>
  <si>
    <t>626110</t>
  </si>
  <si>
    <t>Fringe</t>
  </si>
  <si>
    <t>626100</t>
  </si>
  <si>
    <t>Workers Comp University Award</t>
  </si>
  <si>
    <t>625110</t>
  </si>
  <si>
    <t>Workers Comp Fringe</t>
  </si>
  <si>
    <t>625100</t>
  </si>
  <si>
    <t>Rept Pymt-Retirement Not Eligible</t>
  </si>
  <si>
    <t>624150</t>
  </si>
  <si>
    <t>Rept Pymt-Teacher Ret/Med SS</t>
  </si>
  <si>
    <t>624140</t>
  </si>
  <si>
    <t>Rept Pymt-Teacher Ret/No SS</t>
  </si>
  <si>
    <t>624130</t>
  </si>
  <si>
    <t>Rept Pymt-Alt Ret Plan/Med SS</t>
  </si>
  <si>
    <t>624125</t>
  </si>
  <si>
    <t>Rept Pymt-Alt Ret Plan/Full SS</t>
  </si>
  <si>
    <t>624120</t>
  </si>
  <si>
    <t>Rept Pymt-Alt Ret Plan/No SS</t>
  </si>
  <si>
    <t>624110</t>
  </si>
  <si>
    <t>Rept Pymt-State Retirement</t>
  </si>
  <si>
    <t>624100</t>
  </si>
  <si>
    <t>Accrued Sick-Alt Ret Plan/Med</t>
  </si>
  <si>
    <t>623160</t>
  </si>
  <si>
    <t>Accrued Sick-Alt Ret Plan/Full SS</t>
  </si>
  <si>
    <t>623150</t>
  </si>
  <si>
    <t>Accrued Sick-Alt Ret Plan/No SS</t>
  </si>
  <si>
    <t>623140</t>
  </si>
  <si>
    <t>Accrued Sick-Teacher Ret/Med/SS</t>
  </si>
  <si>
    <t>623130</t>
  </si>
  <si>
    <t>Accrued Sick-Teacher Ret/No SS</t>
  </si>
  <si>
    <t>623120</t>
  </si>
  <si>
    <t>Accrued Sick-Death/Disability</t>
  </si>
  <si>
    <t>623110</t>
  </si>
  <si>
    <t>Accrued Sick-State Retirement</t>
  </si>
  <si>
    <t>623100</t>
  </si>
  <si>
    <t>Accr. Vacation-Death No Med</t>
  </si>
  <si>
    <t>622160</t>
  </si>
  <si>
    <t>Accr. Vacation-Alt Ret Plan/Med</t>
  </si>
  <si>
    <t>622150</t>
  </si>
  <si>
    <t>Accr. Vacation-Alt Ret Plan/Full SS</t>
  </si>
  <si>
    <t>622140</t>
  </si>
  <si>
    <t>Accr. Vacation-Alt Ret Plan/No SS</t>
  </si>
  <si>
    <t>622130</t>
  </si>
  <si>
    <t>Accr. Vacation-Teacher Ret/Med/SS</t>
  </si>
  <si>
    <t>622120</t>
  </si>
  <si>
    <t>Accr. Vacation-Teacher Ret/No SS</t>
  </si>
  <si>
    <t>622110</t>
  </si>
  <si>
    <t>Accr. Vacation-State Retirement</t>
  </si>
  <si>
    <t>622100</t>
  </si>
  <si>
    <t>Longevity-Alt Ret Plan/Med</t>
  </si>
  <si>
    <t>621150</t>
  </si>
  <si>
    <t>Longevity-Alt Ret Plan/Full SS</t>
  </si>
  <si>
    <t>621140</t>
  </si>
  <si>
    <t>Longevity-Alt Ret Plan/No SS</t>
  </si>
  <si>
    <t>621130</t>
  </si>
  <si>
    <t>Longevity-Teacher Ret/Med/SS</t>
  </si>
  <si>
    <t>621120</t>
  </si>
  <si>
    <t>Longevity-Teacher Ret/No SS</t>
  </si>
  <si>
    <t>621110</t>
  </si>
  <si>
    <t>Longevity-State Retirement</t>
  </si>
  <si>
    <t>621100</t>
  </si>
  <si>
    <t>Perf Recog/Retn (dfd Comp) Expense</t>
  </si>
  <si>
    <t>613500</t>
  </si>
  <si>
    <t>Retirement Incentive Payout</t>
  </si>
  <si>
    <t>613410</t>
  </si>
  <si>
    <t>Compensated Absence Expense</t>
  </si>
  <si>
    <t>613400</t>
  </si>
  <si>
    <t>Lump Sum Retirement</t>
  </si>
  <si>
    <t>613300</t>
  </si>
  <si>
    <t>Interest Penalty-Payroll Awards</t>
  </si>
  <si>
    <t>613245</t>
  </si>
  <si>
    <t>Moving Expenses-3rd Party</t>
  </si>
  <si>
    <t>613240</t>
  </si>
  <si>
    <t>Moving Expenses</t>
  </si>
  <si>
    <t>613235</t>
  </si>
  <si>
    <t>Hazard Duty/FICA</t>
  </si>
  <si>
    <t>613230</t>
  </si>
  <si>
    <t>Meal Allowance</t>
  </si>
  <si>
    <t>613225</t>
  </si>
  <si>
    <t>Holiday Pay</t>
  </si>
  <si>
    <t>613220</t>
  </si>
  <si>
    <t>Snow &amp; Ice Differential</t>
  </si>
  <si>
    <t>613215</t>
  </si>
  <si>
    <t>Shift Differential</t>
  </si>
  <si>
    <t>613210</t>
  </si>
  <si>
    <t>Fees</t>
  </si>
  <si>
    <t>613205</t>
  </si>
  <si>
    <t>Overtime-Temporary Employees</t>
  </si>
  <si>
    <t>613110</t>
  </si>
  <si>
    <t>Overtime</t>
  </si>
  <si>
    <t>613100</t>
  </si>
  <si>
    <t>Cooperative Education</t>
  </si>
  <si>
    <t>612600</t>
  </si>
  <si>
    <t>State Work Study</t>
  </si>
  <si>
    <t>612550</t>
  </si>
  <si>
    <t>Federal College Work Study Match</t>
  </si>
  <si>
    <t>612520</t>
  </si>
  <si>
    <t>Federal College Work Study</t>
  </si>
  <si>
    <t>612510</t>
  </si>
  <si>
    <t>Summer Workers with Social Security</t>
  </si>
  <si>
    <t>612420</t>
  </si>
  <si>
    <t>Student Labor-Regular Student Help</t>
  </si>
  <si>
    <t>612410</t>
  </si>
  <si>
    <t>Graduate Intern</t>
  </si>
  <si>
    <t>612305</t>
  </si>
  <si>
    <t>Graduate Assistants</t>
  </si>
  <si>
    <t>612300</t>
  </si>
  <si>
    <t>Reemployed Retirees</t>
  </si>
  <si>
    <t>612235</t>
  </si>
  <si>
    <t>612230</t>
  </si>
  <si>
    <t>Contractual</t>
  </si>
  <si>
    <t>612225</t>
  </si>
  <si>
    <t>Personal Service Agreements</t>
  </si>
  <si>
    <t>612220</t>
  </si>
  <si>
    <t>Athletic Coaches</t>
  </si>
  <si>
    <t>612215</t>
  </si>
  <si>
    <t>Durational Employees</t>
  </si>
  <si>
    <t>612210</t>
  </si>
  <si>
    <t>Permanent or Intermittent PT</t>
  </si>
  <si>
    <t>612205</t>
  </si>
  <si>
    <t>Temporary or Seasonal PT</t>
  </si>
  <si>
    <t>612200</t>
  </si>
  <si>
    <t>Lecturers-Non Teaching</t>
  </si>
  <si>
    <t>612130</t>
  </si>
  <si>
    <t>Lecturers-Teaching</t>
  </si>
  <si>
    <t>612110</t>
  </si>
  <si>
    <t>PT Salaries/Wages-Alt Ret Plan/Med</t>
  </si>
  <si>
    <t>611550</t>
  </si>
  <si>
    <t>PT Salaries/Wages-Alt Ret Plan/SS</t>
  </si>
  <si>
    <t>611540</t>
  </si>
  <si>
    <t>PT Salaries/Wages-Alt Ret Plan/NoSS</t>
  </si>
  <si>
    <t>611530</t>
  </si>
  <si>
    <t>PT Salaries/Wages-Teacher Rt/Med/SS</t>
  </si>
  <si>
    <t>611520</t>
  </si>
  <si>
    <t>PT Salaries/Wages-Teacher Ret/No SS</t>
  </si>
  <si>
    <t>611510</t>
  </si>
  <si>
    <t>Accrued Salary Expense</t>
  </si>
  <si>
    <t>611200</t>
  </si>
  <si>
    <t>Other Settlements - Reportable</t>
  </si>
  <si>
    <t>611180</t>
  </si>
  <si>
    <t>FT Salaries/Wages-Ret Not Eligible</t>
  </si>
  <si>
    <t>611160</t>
  </si>
  <si>
    <t>FT Salaries/Wages-Alt Ret Plan/Med</t>
  </si>
  <si>
    <t>611150</t>
  </si>
  <si>
    <t>FT Salaries/Wages-Alt Ret Plan/SS</t>
  </si>
  <si>
    <t>611140</t>
  </si>
  <si>
    <t>FT Salaries/Wages-Alt Ret Plan/NoSS</t>
  </si>
  <si>
    <t>611130</t>
  </si>
  <si>
    <t>FT Salaries/Wages-Teacher Rt/Med/SS</t>
  </si>
  <si>
    <t>611120</t>
  </si>
  <si>
    <t>FT Salaries/Wages-Teacher Ret/No SS</t>
  </si>
  <si>
    <t>611110</t>
  </si>
  <si>
    <t>FT Salaries/Wages-State Retirement</t>
  </si>
  <si>
    <t>611100</t>
  </si>
  <si>
    <t>Account Description</t>
  </si>
  <si>
    <t>Account</t>
  </si>
  <si>
    <t>First Time Full Time Retention and Persistence</t>
  </si>
  <si>
    <t>Operating Expenses</t>
  </si>
  <si>
    <t>Division</t>
  </si>
  <si>
    <t>Increased Revenue</t>
  </si>
  <si>
    <t>AY 16/17</t>
  </si>
  <si>
    <t>AY 17/18</t>
  </si>
  <si>
    <t>Enrollment</t>
  </si>
  <si>
    <t>Academic Excellence</t>
  </si>
  <si>
    <t>AY 18/19</t>
  </si>
  <si>
    <t>% Change</t>
  </si>
  <si>
    <t>A</t>
  </si>
  <si>
    <t>B</t>
  </si>
  <si>
    <t>C</t>
  </si>
  <si>
    <t>BIOLO2 Biology - Science Computer Lab</t>
  </si>
  <si>
    <t>ATHL40 Athletics Administration Office</t>
  </si>
  <si>
    <t>ATHL42 Athletic Facilities</t>
  </si>
  <si>
    <t>ATHL43 Athletic Training</t>
  </si>
  <si>
    <t>ATHL44 Athletic Sports Information</t>
  </si>
  <si>
    <t>ATHL45 Athletic Promotion and Marketing</t>
  </si>
  <si>
    <t>ATHL46 Cheerleading</t>
  </si>
  <si>
    <t>ATHL47 Strength and Conditioning</t>
  </si>
  <si>
    <t>ATHL48 Athletic Scholarship</t>
  </si>
  <si>
    <t>ATHL49 Athletic Compliance</t>
  </si>
  <si>
    <t>ATHL50 Athletic Event Management</t>
  </si>
  <si>
    <t>ATHL53 Dance Team</t>
  </si>
  <si>
    <t>MENS40 Men's Baseball</t>
  </si>
  <si>
    <t>MENS41 Men's Basketball</t>
  </si>
  <si>
    <t>MENS42 Men's Cross Country</t>
  </si>
  <si>
    <t>MENS43 Men's Football</t>
  </si>
  <si>
    <t>MENS44 Men's Golf</t>
  </si>
  <si>
    <t>MENS46 Men's Soccer</t>
  </si>
  <si>
    <t>MENS50 Men's Track</t>
  </si>
  <si>
    <t>WMNS41 Women's Basketball</t>
  </si>
  <si>
    <t>WMNS42 Women's Cross Country</t>
  </si>
  <si>
    <t>WMNS44 Women's Golf</t>
  </si>
  <si>
    <t>WMNS45 Women's Lacrosse</t>
  </si>
  <si>
    <t>WMNS46 Women's Soccer</t>
  </si>
  <si>
    <t>WMNS47 Women's Softball</t>
  </si>
  <si>
    <t>WMNS48 Women's Swimming and Diving</t>
  </si>
  <si>
    <t>WMNS50 Women's Track</t>
  </si>
  <si>
    <t>WMNS51 Women's Volleyball</t>
  </si>
  <si>
    <t>Current Metric</t>
  </si>
  <si>
    <t>Anticipated Improvement to Metric</t>
  </si>
  <si>
    <t>Equipment is generally defined as cost of $1,000 or greater per item with a useful life of 1 year or more, items which do not meet this criteria or are not equipment (i.e. staffing)  will be removed from the request.</t>
  </si>
  <si>
    <t>Do not include capital equipment which is part of large scale construction project (i.e. W&amp;D, Engineering Building, Huang Recreation Center)</t>
  </si>
  <si>
    <t>Location of requested Equipment</t>
  </si>
  <si>
    <t>If item is for lab, identify lab specialty</t>
  </si>
  <si>
    <t>Equipment Description</t>
  </si>
  <si>
    <t>Approximate age of current equipment</t>
  </si>
  <si>
    <t>Number of Items requested in Year 1</t>
  </si>
  <si>
    <t>TOTAL</t>
  </si>
  <si>
    <t>Item #</t>
  </si>
  <si>
    <t>CCSU Integrated Budget Model</t>
  </si>
  <si>
    <t>FT Salaries/Wages</t>
  </si>
  <si>
    <t>PT Salaries/Wages</t>
  </si>
  <si>
    <t>Other Department Expenditures Not Represented in Department Budget (Paid by other department or funds)</t>
  </si>
  <si>
    <t>Travel Paid by Other Depts/Funds</t>
  </si>
  <si>
    <t>Room #</t>
  </si>
  <si>
    <t>Position Data:</t>
  </si>
  <si>
    <t>Full Time</t>
  </si>
  <si>
    <t>Part Time</t>
  </si>
  <si>
    <t>Filled</t>
  </si>
  <si>
    <t>Vacant</t>
  </si>
  <si>
    <t>Personal Services</t>
  </si>
  <si>
    <t>Discretionary Personal Services</t>
  </si>
  <si>
    <t>Total - Personal Services</t>
  </si>
  <si>
    <t>Lecturer Budget</t>
  </si>
  <si>
    <t>DPS &amp; OE Budget</t>
  </si>
  <si>
    <t>Variance (Lecturer Actual to Budget)</t>
  </si>
  <si>
    <t>Variance (DPS/OE Actual to Budget)</t>
  </si>
  <si>
    <t>Total DPS &amp; OE</t>
  </si>
  <si>
    <t>Lecturers</t>
  </si>
  <si>
    <t>Sub-Total -Discretionary PS</t>
  </si>
  <si>
    <t>Position Description</t>
  </si>
  <si>
    <t>Position #</t>
  </si>
  <si>
    <t>PC# Value</t>
  </si>
  <si>
    <t>Vacancy</t>
  </si>
  <si>
    <t>Total - Full-time</t>
  </si>
  <si>
    <t>Annual Salary</t>
  </si>
  <si>
    <t>Salary Savings</t>
  </si>
  <si>
    <t>E</t>
  </si>
  <si>
    <t>F</t>
  </si>
  <si>
    <t>G</t>
  </si>
  <si>
    <t>D=E+F+G</t>
  </si>
  <si>
    <t>Full-Time Salaries</t>
  </si>
  <si>
    <t>The following template would be completed by the Fiscal Division for each Banner Index Associated with the Piloted Department.   The information is presented below with the acknowledgement that the use of positions, salary savings and vacancies rest at the divisional and institutional level.</t>
  </si>
  <si>
    <t>Existing computers and audio visual equipment replacements will be requested by IT or the Media Center.  If you have a room which has never had the item that you need from this list, or are requesting additional technology for a room, contact the following areas:</t>
  </si>
  <si>
    <t>New Activities/Initiatives/Programs</t>
  </si>
  <si>
    <t xml:space="preserve">Data and benchmarks are available in the NCAA Financial Indicator Dashboard.  </t>
  </si>
  <si>
    <t>Athletics</t>
  </si>
  <si>
    <t>comparison benchmark</t>
  </si>
  <si>
    <t>Revenue and Expenditures</t>
  </si>
  <si>
    <t>Generated Revenues as % of Total Athletics Revenues</t>
  </si>
  <si>
    <t>Athletics expenses per student athlete</t>
  </si>
  <si>
    <t>Athletics expenditures as a % of total institutional expenditures</t>
  </si>
  <si>
    <t>Athletics Expenditures Rate of Change vs. University Expenditures Rate of Change</t>
  </si>
  <si>
    <t>Athletic Student Aid as a % of Total Athletics Expenditures</t>
  </si>
  <si>
    <t>Coaches Compensation as a % of total expenditures</t>
  </si>
  <si>
    <t>Student Success</t>
  </si>
  <si>
    <t>NCAA Graduation Success Rate</t>
  </si>
  <si>
    <t>NCAA Academic Progress Rate</t>
  </si>
  <si>
    <t>Assumptions OR other strategic linkages which warrant highlighting</t>
  </si>
  <si>
    <t>Division (i.e. Academic Affairs/Administrative Affairs))</t>
  </si>
  <si>
    <t>Academic School (Class, Information Technology)</t>
  </si>
  <si>
    <t>Academic/Operational Department</t>
  </si>
  <si>
    <t>If equipment is purchased, identify annual operating expense</t>
  </si>
  <si>
    <t>Other Comments (highlight if request is part of a renovation and provide more detail about any support needed to install or ongoing operating costs)</t>
  </si>
  <si>
    <t>Banner Index Number</t>
  </si>
  <si>
    <t>Banner Index Name</t>
  </si>
  <si>
    <t>How much of this funding could be used to support either new initiatives and/or equipment requests</t>
  </si>
  <si>
    <t>SFY 2020    (Year 1)       Total Estimated Cost</t>
  </si>
  <si>
    <t>SFY 2021   (Year 2)       Total Estimated Cost</t>
  </si>
  <si>
    <t>SFY 2022    (Year 3)         Total Estimated Cost</t>
  </si>
  <si>
    <t>Change from SFY 19</t>
  </si>
  <si>
    <t>SFY 20 Reduction (3%)</t>
  </si>
  <si>
    <t>SFY 19 (7/1/18 - 6/30/19) Expected</t>
  </si>
  <si>
    <t>SFY 20 Baseline Operations</t>
  </si>
  <si>
    <t>SFY 16 (7/1/15 - 6/30/16)</t>
  </si>
  <si>
    <t>SFY 17 (7/1/16 - 6/30/17)</t>
  </si>
  <si>
    <t>SFY 18 (7/1/17 - 6/30/18)</t>
  </si>
  <si>
    <t>How does this help the University</t>
  </si>
  <si>
    <t>PILOT DEPARTMENT NAME</t>
  </si>
  <si>
    <t>Division Director (i.e. Dean)</t>
  </si>
  <si>
    <t xml:space="preserve">Name </t>
  </si>
  <si>
    <t>If a proposal is partially or not supported, the comments must be specific as to what isn't supported as well as the rationale for not supporting</t>
  </si>
  <si>
    <t>Funding Request - Initiative A</t>
  </si>
  <si>
    <t>Funding Request - Initiative B</t>
  </si>
  <si>
    <t>Funding Request - Initiative C</t>
  </si>
  <si>
    <t>Capital Equipment Request</t>
  </si>
  <si>
    <t xml:space="preserve">Equipment Request </t>
  </si>
  <si>
    <t>Executive Committee Member (i.e. Provost)</t>
  </si>
  <si>
    <t>FY 20 Baseline Operating Budget Request</t>
  </si>
  <si>
    <t>Value of request recommended for approval</t>
  </si>
  <si>
    <t>Banner Index</t>
  </si>
  <si>
    <t xml:space="preserve">Revenue Summary </t>
  </si>
  <si>
    <t>Comments (if 100% of the funds are not available in support of requested additional funds, please provide a detailed description)</t>
  </si>
  <si>
    <t>Purpose of account including connection the University Interim Strategic Plan</t>
  </si>
  <si>
    <r>
      <t xml:space="preserve">The purpose of this schedule is to </t>
    </r>
    <r>
      <rPr>
        <sz val="14"/>
        <color rgb="FFFF0000"/>
        <rFont val="Times New Roman"/>
        <family val="1"/>
      </rPr>
      <t>list any/all funding resources available to you which are outside of your annual budget index</t>
    </r>
    <r>
      <rPr>
        <sz val="14"/>
        <color theme="1"/>
        <rFont val="Times New Roman"/>
        <family val="1"/>
      </rPr>
      <t xml:space="preserve"> so that the University can have a complete picture of all resources available to your department.  Examples of this might include:   foundation funds, indirect accounts, funds which you can spend but are held in a divisional index, reserves or bond funds.   Examples of funds that should be excluded:  funds you are the custodian for such as Student Activity Funds, grant accounts and/ or Perkins Loan Funds. For every amount listed, a detailed transactional history shall be provided.</t>
    </r>
  </si>
  <si>
    <t>Fiscal Arrangement  with CCSU (i.e. entrepreneurial shares 50% of profit with University)</t>
  </si>
  <si>
    <t>Strategic Alignment (Academic Excellence, Community Engagement, Enrollment, Increased Revenue) or safety enhancement</t>
  </si>
  <si>
    <t>Describe Budget Reduction</t>
  </si>
  <si>
    <t>Describe impact to metrics</t>
  </si>
  <si>
    <t>What is the impact of the reduction</t>
  </si>
  <si>
    <t>Describe impact to Interim Strategic Plan and/or Safety</t>
  </si>
  <si>
    <t>Expansion Requests  - SFY 20 Strategic Activities/Initiatives/Programs Requests</t>
  </si>
  <si>
    <t>BANNER INDEX:</t>
  </si>
  <si>
    <t>CONTACT FOR WORKSHEET:</t>
  </si>
  <si>
    <t>List Banner Index</t>
  </si>
  <si>
    <t>ATHLETIC BENCHMARKS</t>
  </si>
  <si>
    <t>Note:  Any items which are supported or partially supported by the Executive Member shall be included in the proposal, and denoted in the IBM column as well as highlighted in yellow for emphasis.  Items which are put forward in the Excomm proposal will be prioritized against the other competing priorities for the applicable division.</t>
  </si>
  <si>
    <t>Additional Funds Requested  link to each Index)</t>
  </si>
  <si>
    <t>contact person for proposed initiative</t>
  </si>
  <si>
    <t>Baseline Operations:  Any additional comments, How will the department activities support the four strategic priorities or enhance safety?</t>
  </si>
  <si>
    <t>Funds Requested</t>
  </si>
  <si>
    <t>Subtotal by Index</t>
  </si>
  <si>
    <t>Consolidated Strategic Funding Request (Includes all Banner Indexes)</t>
  </si>
  <si>
    <t>CONSOLIDATED MANAGEMENT FEEDBACK ON PILOT PROPOSAL (Includes all Banner Indexes)</t>
  </si>
  <si>
    <t>Division (i.e. Academic Affairs/Administrative Affairs)</t>
  </si>
  <si>
    <t>PRIORITIZATION OF ITEM                         (Select "High", "Medium" or "Low")</t>
  </si>
  <si>
    <t>SAFETY RISK?                       (Select "High", "Medium" or "Low")</t>
  </si>
  <si>
    <t>Select a Strategic Alignment (Academic Excellence, Community Engagement, Enrollment, Increased Revenue, Safety)</t>
  </si>
  <si>
    <t>SAFETY RISK?                         (Select "High", "Medium" or "Low")</t>
  </si>
  <si>
    <t>Has the department explored any costs savings or collaborations with other departments?</t>
  </si>
  <si>
    <t>Value of reduction</t>
  </si>
  <si>
    <t>Additional Funds Requested  (link to each Index)</t>
  </si>
  <si>
    <t>Consolidated Proposed Potential Reductions (Including all Banner Indexes)</t>
  </si>
  <si>
    <t>Select from "Replace" or "Unmet Need"</t>
  </si>
  <si>
    <t>Index</t>
  </si>
  <si>
    <t xml:space="preserve">CONSOLIDATED LIST (i.e All of School of Business Requests) - Any Capital Equipment (i.e. lab equipment, copiers)  which requires replacing over next 3 years </t>
  </si>
  <si>
    <t>CONSOLIDATED LIST (i.e. All of School of Business Requests) - Any Equipment less than $1,000  which requires replacing over next 3 years (intended to be substantial equipment no supplies) which does not already have a source of funds</t>
  </si>
  <si>
    <t xml:space="preserve">DEPARTMENT: </t>
  </si>
  <si>
    <t>to prepare the request.</t>
  </si>
  <si>
    <t xml:space="preserve">Describe the process you used to communicate with others in your department </t>
  </si>
  <si>
    <r>
      <t xml:space="preserve">Identify if IT/Facilities Support is Needed to Install </t>
    </r>
    <r>
      <rPr>
        <b/>
        <sz val="10"/>
        <color rgb="FFFF0000"/>
        <rFont val="Calibri"/>
        <family val="2"/>
      </rPr>
      <t>(please see instructions above)</t>
    </r>
  </si>
  <si>
    <r>
      <t xml:space="preserve">&gt; Computers and mobile devices please submit this form: </t>
    </r>
    <r>
      <rPr>
        <b/>
        <u/>
        <sz val="11"/>
        <color theme="3"/>
        <rFont val="Calibri"/>
        <family val="2"/>
      </rPr>
      <t xml:space="preserve"> </t>
    </r>
    <r>
      <rPr>
        <b/>
        <u/>
        <sz val="11"/>
        <color theme="8"/>
        <rFont val="Calibri"/>
        <family val="2"/>
      </rPr>
      <t>Service Offering: Classroom/Lab Request for Funding – Hardware</t>
    </r>
    <r>
      <rPr>
        <sz val="11"/>
        <rFont val="Calibri"/>
        <family val="2"/>
      </rPr>
      <t xml:space="preserve"> and you may contact Amy Kullgren in IT.   </t>
    </r>
  </si>
  <si>
    <r>
      <t>&gt; Instructor Workstations, projectors, projector screens, Clickshares, televisions, audio systems and other audio visual related equipment please submit this form “</t>
    </r>
    <r>
      <rPr>
        <b/>
        <u/>
        <sz val="11"/>
        <color theme="8"/>
        <rFont val="Calibri"/>
        <family val="2"/>
      </rPr>
      <t>https://form.jotform.com/73025596788976</t>
    </r>
    <r>
      <rPr>
        <sz val="11"/>
        <rFont val="Calibri"/>
        <family val="2"/>
      </rPr>
      <t xml:space="preserve"> ”   and you may contact Chad Valk in the Media Center</t>
    </r>
  </si>
  <si>
    <r>
      <rPr>
        <sz val="11"/>
        <rFont val="Calibri"/>
        <family val="2"/>
      </rPr>
      <t>&gt; If the Capital Equipment request is tied to a Renovation, please ensure you include a Capital Projects and Space Planning Request form that can be found here:</t>
    </r>
    <r>
      <rPr>
        <u/>
        <sz val="11"/>
        <color theme="10"/>
        <rFont val="Calibri"/>
        <family val="2"/>
      </rPr>
      <t xml:space="preserve"> “</t>
    </r>
    <r>
      <rPr>
        <b/>
        <u/>
        <sz val="11"/>
        <color theme="8"/>
        <rFont val="Calibri"/>
        <family val="2"/>
      </rPr>
      <t>http://www.ccsu.edu/facilitiesmanagement/forms</t>
    </r>
    <r>
      <rPr>
        <u/>
        <sz val="11"/>
        <color theme="10"/>
        <rFont val="Calibri"/>
        <family val="2"/>
      </rPr>
      <t xml:space="preserve">”  </t>
    </r>
    <r>
      <rPr>
        <sz val="11"/>
        <rFont val="Calibri"/>
        <family val="2"/>
      </rPr>
      <t>. You may contact Facilities with any questions.</t>
    </r>
  </si>
  <si>
    <r>
      <t xml:space="preserve">&gt; Computers and mobile devices please submit this form: </t>
    </r>
    <r>
      <rPr>
        <b/>
        <u/>
        <sz val="11"/>
        <color theme="3"/>
        <rFont val="Calibri"/>
        <family val="2"/>
      </rPr>
      <t xml:space="preserve"> </t>
    </r>
    <r>
      <rPr>
        <b/>
        <u/>
        <sz val="11"/>
        <color theme="8"/>
        <rFont val="Calibri"/>
        <family val="2"/>
      </rPr>
      <t>Service Offering: Classroom/Lab Request for Funding – Hardware</t>
    </r>
    <r>
      <rPr>
        <u/>
        <sz val="11"/>
        <color theme="8"/>
        <rFont val="Calibri"/>
        <family val="2"/>
      </rPr>
      <t xml:space="preserve"> </t>
    </r>
    <r>
      <rPr>
        <sz val="11"/>
        <rFont val="Calibri"/>
        <family val="2"/>
      </rPr>
      <t xml:space="preserve">and you may contact Amy Kullgren in IT.   </t>
    </r>
  </si>
  <si>
    <t>DEPARTMENT:</t>
  </si>
  <si>
    <t>Applicable Account Code (Old)</t>
  </si>
  <si>
    <t>Applicable Account Code (New)</t>
  </si>
  <si>
    <t>6111xx</t>
  </si>
  <si>
    <t>6115xx</t>
  </si>
  <si>
    <t>Summary (All Indexes)</t>
  </si>
  <si>
    <t>Index Description</t>
  </si>
  <si>
    <t>DPS/OE Increase FY 2019 over FY 2018</t>
  </si>
  <si>
    <t>University Support</t>
  </si>
  <si>
    <t>ATHL00</t>
  </si>
  <si>
    <t>Athletics Administration Office</t>
  </si>
  <si>
    <t>Various</t>
  </si>
  <si>
    <t>Various Revenue Sources</t>
  </si>
  <si>
    <t>Total Athletics Revenue</t>
  </si>
  <si>
    <t>ATHL40</t>
  </si>
  <si>
    <t>Unallocated Athletics Budget</t>
  </si>
  <si>
    <t>ATHL42</t>
  </si>
  <si>
    <t>Athletic Facilities</t>
  </si>
  <si>
    <t>ATHL43</t>
  </si>
  <si>
    <t>Athletic Training</t>
  </si>
  <si>
    <t>ATHL44</t>
  </si>
  <si>
    <t>Athletic Sports Information</t>
  </si>
  <si>
    <t>ATHL45</t>
  </si>
  <si>
    <t>Athletic Promotion and Marketing</t>
  </si>
  <si>
    <t>ATHL46</t>
  </si>
  <si>
    <t>Cheerleading</t>
  </si>
  <si>
    <t>ATHL47</t>
  </si>
  <si>
    <t>Strength and Conditioning</t>
  </si>
  <si>
    <t>ATHL48</t>
  </si>
  <si>
    <t>ATHL49</t>
  </si>
  <si>
    <t>Athletic Compliance</t>
  </si>
  <si>
    <t>ATHL50</t>
  </si>
  <si>
    <t>Athletic Event Management</t>
  </si>
  <si>
    <t>ATHL53</t>
  </si>
  <si>
    <t>Dance Team</t>
  </si>
  <si>
    <t>MENS40</t>
  </si>
  <si>
    <t>MENS41</t>
  </si>
  <si>
    <t>Men's Basketball</t>
  </si>
  <si>
    <t>MENS42</t>
  </si>
  <si>
    <t>Men's Cross Country</t>
  </si>
  <si>
    <t>MENS43</t>
  </si>
  <si>
    <t>Men's Football</t>
  </si>
  <si>
    <t>MENS44</t>
  </si>
  <si>
    <t>Men's Golf</t>
  </si>
  <si>
    <t>MENS46</t>
  </si>
  <si>
    <t>Men's Soccer</t>
  </si>
  <si>
    <t>MENS50</t>
  </si>
  <si>
    <t>Men's Track</t>
  </si>
  <si>
    <t>WMNS41</t>
  </si>
  <si>
    <t>Women's Basketball</t>
  </si>
  <si>
    <t>WMNS42</t>
  </si>
  <si>
    <t>Women's Cross Country</t>
  </si>
  <si>
    <t>WMNS44</t>
  </si>
  <si>
    <t>Women's Golf</t>
  </si>
  <si>
    <r>
      <t xml:space="preserve">CONTACT FOR WORKSHEET:   </t>
    </r>
    <r>
      <rPr>
        <b/>
        <sz val="10"/>
        <color rgb="FFFF0000"/>
        <rFont val="Times New Roman"/>
        <family val="1"/>
      </rPr>
      <t>Golf was eliminated at the end of FY18</t>
    </r>
  </si>
  <si>
    <t>WMNS45</t>
  </si>
  <si>
    <t>Women's Lacrosse</t>
  </si>
  <si>
    <t>WMNS46</t>
  </si>
  <si>
    <t>Women's Soccer</t>
  </si>
  <si>
    <t>WMNS47</t>
  </si>
  <si>
    <t>Women's Softball</t>
  </si>
  <si>
    <t>Men's Baseball</t>
  </si>
  <si>
    <t>WMNS48</t>
  </si>
  <si>
    <t>Women's Swimming and Diving</t>
  </si>
  <si>
    <t>WMNS50</t>
  </si>
  <si>
    <t>Women's Track</t>
  </si>
  <si>
    <t>WMNS51</t>
  </si>
  <si>
    <t>Women's Volleyball</t>
  </si>
  <si>
    <t>Grand Total - Athletics</t>
  </si>
  <si>
    <t>Storekeeper</t>
  </si>
  <si>
    <t>00052248</t>
  </si>
  <si>
    <t>PYED01/ATHL43</t>
  </si>
  <si>
    <t>Mail Services Supervisor 1</t>
  </si>
  <si>
    <t>Equipment Manager</t>
  </si>
  <si>
    <t>Assistant Basketball Coach</t>
  </si>
  <si>
    <t>00052811</t>
  </si>
  <si>
    <t>00052887</t>
  </si>
  <si>
    <t>00084879</t>
  </si>
  <si>
    <t>Administrative Assistant</t>
  </si>
  <si>
    <t>Director, Athletics</t>
  </si>
  <si>
    <t>Accounting &amp; Budget Assistant</t>
  </si>
  <si>
    <t>Senior Associate, Athletic Director</t>
  </si>
  <si>
    <t>CSU Administrative Assistant</t>
  </si>
  <si>
    <t>Athletic Trainer 3</t>
  </si>
  <si>
    <t>Asst. Athletics Director, Comm. &amp; Media Services</t>
  </si>
  <si>
    <t>Sports Information Assistant</t>
  </si>
  <si>
    <t>Associate Dir of Athletics for Sports Performance</t>
  </si>
  <si>
    <t>Associate Director, Athletics Compliance</t>
  </si>
  <si>
    <t>Asst Athletic Dir for Admin &amp; Std Svcs</t>
  </si>
  <si>
    <t>Associate Director, Athletics, External Serv.</t>
  </si>
  <si>
    <t>Assistant Men's Baseball Coach</t>
  </si>
  <si>
    <t>Head Baseball Coach</t>
  </si>
  <si>
    <t>Head Basketball Coach</t>
  </si>
  <si>
    <t>Assistant Men's Basketball Coach</t>
  </si>
  <si>
    <t>Head Men/Wmn  Xcountry/Track Coach</t>
  </si>
  <si>
    <t>Asst. Men/Wmn  Xcountry/Track Coach</t>
  </si>
  <si>
    <t>Assistant Football Coach</t>
  </si>
  <si>
    <t>Head Football Coach</t>
  </si>
  <si>
    <t>Head Soccer Coach  (Assoc. Prof.)</t>
  </si>
  <si>
    <t>Assistant Men's Soccer Coach</t>
  </si>
  <si>
    <t>Head Lacrosse Coach</t>
  </si>
  <si>
    <t>Women's Soccer Coach</t>
  </si>
  <si>
    <t>Soccer Coach</t>
  </si>
  <si>
    <t>Head Softball Coach</t>
  </si>
  <si>
    <t>Assistant Softball Coach</t>
  </si>
  <si>
    <t>Head Women's Swimming &amp; Diving Coach/Director of Aguatics</t>
  </si>
  <si>
    <t>Head Volleyball Coach</t>
  </si>
  <si>
    <t>Assistant Volleyball Coach</t>
  </si>
  <si>
    <t>Associate Professor</t>
  </si>
  <si>
    <t>Professor/Head Athletic Trainer</t>
  </si>
  <si>
    <t>00052527</t>
  </si>
  <si>
    <t>00052311</t>
  </si>
  <si>
    <t>00052539</t>
  </si>
  <si>
    <t>00053132</t>
  </si>
  <si>
    <t>00052206</t>
  </si>
  <si>
    <t>00075273</t>
  </si>
  <si>
    <t>00052894</t>
  </si>
  <si>
    <t>00053008</t>
  </si>
  <si>
    <t>00053131</t>
  </si>
  <si>
    <t>00052404</t>
  </si>
  <si>
    <t>00053136</t>
  </si>
  <si>
    <t>00053146</t>
  </si>
  <si>
    <t>00084945</t>
  </si>
  <si>
    <t>00053105</t>
  </si>
  <si>
    <t>00053084</t>
  </si>
  <si>
    <t>00052634</t>
  </si>
  <si>
    <t>00085146</t>
  </si>
  <si>
    <t>00052779</t>
  </si>
  <si>
    <t>00053138</t>
  </si>
  <si>
    <t>00052440</t>
  </si>
  <si>
    <t>00053099</t>
  </si>
  <si>
    <t>00076049</t>
  </si>
  <si>
    <t>00108170</t>
  </si>
  <si>
    <t>00052297</t>
  </si>
  <si>
    <t>00052268</t>
  </si>
  <si>
    <t>00076050</t>
  </si>
  <si>
    <t>00052295</t>
  </si>
  <si>
    <t>00052354</t>
  </si>
  <si>
    <t>00052785</t>
  </si>
  <si>
    <t>00052436</t>
  </si>
  <si>
    <t>00052439</t>
  </si>
  <si>
    <t>00084593</t>
  </si>
  <si>
    <t>00053023</t>
  </si>
  <si>
    <t>00053150</t>
  </si>
  <si>
    <t>00053184</t>
  </si>
  <si>
    <t>00080280</t>
  </si>
  <si>
    <t>00085538</t>
  </si>
  <si>
    <t>00052909</t>
  </si>
  <si>
    <t>00052356</t>
  </si>
  <si>
    <t>Department:</t>
  </si>
  <si>
    <t>Total -Lecturer-Teaching</t>
  </si>
  <si>
    <t>Total DPS, Lecturer &amp; OE</t>
  </si>
  <si>
    <t>ALL</t>
  </si>
  <si>
    <t>Other PS &amp; Fringes</t>
  </si>
  <si>
    <t>Total Other PS &amp; Fringe Expenses</t>
  </si>
  <si>
    <t>Carry Forward Fund Balance</t>
  </si>
  <si>
    <t>A.</t>
  </si>
  <si>
    <t>B.</t>
  </si>
  <si>
    <t>C.</t>
  </si>
  <si>
    <t>Comments, Assumptions OR other strategic linkages which warrant highlighting</t>
  </si>
  <si>
    <t>Travel Paid by Other Depts/Funds (FOUNDATION)</t>
  </si>
  <si>
    <t>Salaries &amp; Wages Student</t>
  </si>
  <si>
    <t xml:space="preserve">FY20 Baseline includes cost for new away uniforms.  On a 3 year cycle, last purchased in FY15.  </t>
  </si>
  <si>
    <t>IA</t>
  </si>
  <si>
    <t>Football</t>
  </si>
  <si>
    <t>Arute Field</t>
  </si>
  <si>
    <t>Pop-up Dummies</t>
  </si>
  <si>
    <t>Replace</t>
  </si>
  <si>
    <t>15 years</t>
  </si>
  <si>
    <t>High</t>
  </si>
  <si>
    <t>Safety</t>
  </si>
  <si>
    <t>Pop-up dummies have exceeded lifespan. This equipment is a necessity for team improvement. Also used during the Ana Grace Project "Finish the Race Day".</t>
  </si>
  <si>
    <t>Film Room</t>
  </si>
  <si>
    <t>Epson Pro EX9220 - Projector</t>
  </si>
  <si>
    <t>10 years</t>
  </si>
  <si>
    <t>Low</t>
  </si>
  <si>
    <t>Yes</t>
  </si>
  <si>
    <t>Projectors are worn out. Bulbs are changed, but constantly have the same repair issues.</t>
  </si>
  <si>
    <t>FY20 Baseline - only one meet</t>
  </si>
  <si>
    <t>FY20 Baseline - assumes 26 student-athletes.</t>
  </si>
  <si>
    <t>Pay for USA Nationals from Foundation funds or decrease team numbers.</t>
  </si>
  <si>
    <t>Pool</t>
  </si>
  <si>
    <t>Quad Power Tower</t>
  </si>
  <si>
    <t>Unmet Need</t>
  </si>
  <si>
    <t>W Swimming &amp; Diving</t>
  </si>
  <si>
    <t>Colorado Timing System Starter</t>
  </si>
  <si>
    <t>FY20 Baseline - Increase in roster size.</t>
  </si>
  <si>
    <t>FY20 Baseline - Previously paid for out of the Foundation.  Also includes a one in every four year purchase of uniforms (2 sets/home and away)</t>
  </si>
  <si>
    <t>FY20 Baseline - Will host home tournament which adds 6 matches.  Official fees have increased.  Addition of Merrimack to Conference</t>
  </si>
  <si>
    <t>FY20 Baseline - Addition of Volleymetric Video Exchange per NEC.</t>
  </si>
  <si>
    <t>FY20 Baseline - Increase in roster size by 2 players.  Addition of Merrimack to NEC. Tournament at Georgetown University for regional competition.</t>
  </si>
  <si>
    <t>The budget for recruiting has been zero and funded by fundraised dollars.</t>
  </si>
  <si>
    <t>Gym</t>
  </si>
  <si>
    <t>Volleyball</t>
  </si>
  <si>
    <t>VolleyMetrics Camera</t>
  </si>
  <si>
    <t>This camera allows us to join the Volleymetric NCAA Div 1 video exchange platform which is crucial for competitve success within the NEC, and that success allows us to continue to attract qualified student-athletes to our program.</t>
  </si>
  <si>
    <t xml:space="preserve">These funds would directly impact our ability to help increase enrollment. All recruiting expenditures as of now are paid for through of foundation. </t>
  </si>
  <si>
    <t>These funds would directly impact our ability to help increase enrollment.The budget for recruiting has been zero and funded by fundraised dollars.</t>
  </si>
  <si>
    <t>Softball</t>
  </si>
  <si>
    <t>Heating Units</t>
  </si>
  <si>
    <t>Softball Field (Dugouts)</t>
  </si>
  <si>
    <t>Medium</t>
  </si>
  <si>
    <t>Installation is Required - Electricity is already in place for the heating units. They would Just have to be mounted on the ceiling of the dugouts.</t>
  </si>
  <si>
    <t xml:space="preserve">Softball Field  </t>
  </si>
  <si>
    <t>Wind Screen with CCSU logo</t>
  </si>
  <si>
    <t xml:space="preserve">Replacement of the windscreen on our outfield fence would rejuvinate the field helping us draw student-athletes looking to play at a university that invests in its facilities. </t>
  </si>
  <si>
    <t xml:space="preserve">Foundation funds will cover the 3% reduction amount that is requested to feed our athletes while they are on campus during spring break. </t>
  </si>
  <si>
    <t>Foundation funds will cover the 3% reduction for in-state recruiting expenses.</t>
  </si>
  <si>
    <t>FY20 Baseline - Reporting for preseason one week later. Eliminate another 3 days from preseason to achieve 3% reduction.</t>
  </si>
  <si>
    <t>FY20 Baseline - Two less home games.</t>
  </si>
  <si>
    <t>FY20 Baseline - No PA trip.</t>
  </si>
  <si>
    <t>Enrollment - Junior Official visits now allowed. New Rule.</t>
  </si>
  <si>
    <t>Enrollment - The need for recruiting more at out of state tournaments.</t>
  </si>
  <si>
    <t>W Soccer</t>
  </si>
  <si>
    <t>Soccer Field</t>
  </si>
  <si>
    <t>Mini Soccer Goals</t>
  </si>
  <si>
    <t xml:space="preserve">Temperatures can dip down into the low 30s in the dugout during spring season. Between innings our athletes are not able to keep themselves warm enough to perform the explosive movement necessary to play our sport. Therefore putting them at risk of pulled muscles and injury on game day. </t>
  </si>
  <si>
    <t>Lockerroom</t>
  </si>
  <si>
    <t>Ice Bath Tubs</t>
  </si>
  <si>
    <t>To aid student-athletes in their post exercise recovery. Student-athlete welfare in prevention of injuries.</t>
  </si>
  <si>
    <t>FY20 Baseline - New uniforms, current uniforms are 7 years old.</t>
  </si>
  <si>
    <t>Baseball</t>
  </si>
  <si>
    <t>Gym or Rec Center</t>
  </si>
  <si>
    <t>Indoor Pitching Mounds</t>
  </si>
  <si>
    <t>17 years</t>
  </si>
  <si>
    <t>Jugs Protector Sock Net Screen</t>
  </si>
  <si>
    <t>Proper indoor equipment for safe practice conditions.</t>
  </si>
  <si>
    <t>INCREASED REVENUE (camp)</t>
  </si>
  <si>
    <t>FY20 Baseline - Increase of 5 players on the roster.</t>
  </si>
  <si>
    <t>FY20 Baseline - Home competitions increase by 5 games.</t>
  </si>
  <si>
    <t>FY20 Baseline - Team travel decrease due to increased home competitions.</t>
  </si>
  <si>
    <t>Travel Paid by Other Depts/Funds FOUNDATION</t>
  </si>
  <si>
    <t>FY20 Baseline - 3 year uniform cycle and winter jackets.</t>
  </si>
  <si>
    <t>FY20 Baseline - New Uniforms and Cleats</t>
  </si>
  <si>
    <t>FY20 Baseline - Away for Spring Break instead of in New Britain</t>
  </si>
  <si>
    <t>FY20  Baseline - Away for Spring Break</t>
  </si>
  <si>
    <t>FY19 - $25,500 pro-rated salary due to employment start date.</t>
  </si>
  <si>
    <t>Lacrosse</t>
  </si>
  <si>
    <t>Rebounder</t>
  </si>
  <si>
    <r>
      <rPr>
        <b/>
        <sz val="10"/>
        <color theme="1"/>
        <rFont val="Calibri"/>
        <family val="2"/>
        <scheme val="minor"/>
      </rPr>
      <t>INCREASED REVENUE (Clinics/Camp)</t>
    </r>
    <r>
      <rPr>
        <sz val="10"/>
        <color theme="1"/>
        <rFont val="Calibri"/>
        <family val="2"/>
        <scheme val="minor"/>
      </rPr>
      <t>- We have been using mini goals that I personally purchased for the last 10 years. They are in a bad state. We use these for clinics with local youth teams and for summer camps.</t>
    </r>
  </si>
  <si>
    <r>
      <rPr>
        <b/>
        <sz val="10"/>
        <color theme="1"/>
        <rFont val="Calibri"/>
        <family val="2"/>
        <scheme val="minor"/>
      </rPr>
      <t>ENROLLMENT</t>
    </r>
    <r>
      <rPr>
        <sz val="10"/>
        <color theme="1"/>
        <rFont val="Calibri"/>
        <family val="2"/>
        <scheme val="minor"/>
      </rPr>
      <t xml:space="preserve"> - Used to increase power and speed of athletes. Presently only team in the NEC without enough equipment to train multiple athletes at the same time, putting the team a great disadvantage.</t>
    </r>
  </si>
  <si>
    <r>
      <rPr>
        <b/>
        <sz val="10"/>
        <color theme="1"/>
        <rFont val="Calibri"/>
        <family val="2"/>
        <scheme val="minor"/>
      </rPr>
      <t>INCREASED REVENUE (Camp)</t>
    </r>
    <r>
      <rPr>
        <sz val="10"/>
        <color theme="1"/>
        <rFont val="Calibri"/>
        <family val="2"/>
        <scheme val="minor"/>
      </rPr>
      <t xml:space="preserve"> Current pitching mounds are old and falling apart.</t>
    </r>
  </si>
  <si>
    <r>
      <rPr>
        <b/>
        <sz val="10"/>
        <color theme="1"/>
        <rFont val="Calibri"/>
        <family val="2"/>
        <scheme val="minor"/>
      </rPr>
      <t>INCREASED REVENUE (Clinics/Camp</t>
    </r>
    <r>
      <rPr>
        <sz val="10"/>
        <color theme="1"/>
        <rFont val="Calibri"/>
        <family val="2"/>
        <scheme val="minor"/>
      </rPr>
      <t xml:space="preserve"> - Foundational tool used for skills training at the collegiate level as well as for </t>
    </r>
    <r>
      <rPr>
        <b/>
        <sz val="10"/>
        <color theme="1"/>
        <rFont val="Calibri"/>
        <family val="2"/>
        <scheme val="minor"/>
      </rPr>
      <t>camps/clinics</t>
    </r>
    <r>
      <rPr>
        <sz val="10"/>
        <color theme="1"/>
        <rFont val="Calibri"/>
        <family val="2"/>
        <scheme val="minor"/>
      </rPr>
      <t xml:space="preserve"> for beginner players. </t>
    </r>
  </si>
  <si>
    <t>Shooting Machine</t>
  </si>
  <si>
    <r>
      <rPr>
        <b/>
        <sz val="10"/>
        <color theme="1"/>
        <rFont val="Calibri"/>
        <family val="2"/>
        <scheme val="minor"/>
      </rPr>
      <t>INCREASED REVENUE (Camp)</t>
    </r>
    <r>
      <rPr>
        <sz val="10"/>
        <color theme="1"/>
        <rFont val="Calibri"/>
        <family val="2"/>
        <scheme val="minor"/>
      </rPr>
      <t xml:space="preserve"> - Key player development tool.  Huge selling point when recruits visit campus.</t>
    </r>
  </si>
  <si>
    <t>FY20 Baseline - Fast Draw Recruiting Tool for each staff member.</t>
  </si>
  <si>
    <t>FY20 Baseline - Uniforms purchased on a 3 year cycle.</t>
  </si>
  <si>
    <t>Sports Performance</t>
  </si>
  <si>
    <t>Weight Room</t>
  </si>
  <si>
    <t>Treadmill</t>
  </si>
  <si>
    <t>14 years</t>
  </si>
  <si>
    <t>Life expectancy of the treadmill is 8 years.  Repair parts are no longer available since treadmill was purchased in 2004.  Preventive maintenance would cost $300 for two visits per year.</t>
  </si>
  <si>
    <t>FY20 Baseline - FY17, FY18 &amp; FY19 NCAA Quasi Endowment Fund</t>
  </si>
  <si>
    <t>FY19 - Grad Intern Spring Semester Only</t>
  </si>
  <si>
    <r>
      <t xml:space="preserve">FY20 Baseline - These funds would give us the ability to purchase/replace equipment (helmets, uniforms, balls, nets, buckets, etc.) that would allow us to hold larger camps therefore </t>
    </r>
    <r>
      <rPr>
        <b/>
        <sz val="10"/>
        <color theme="1"/>
        <rFont val="Times New Roman"/>
        <family val="1"/>
      </rPr>
      <t>increasing revenue</t>
    </r>
    <r>
      <rPr>
        <sz val="10"/>
        <color theme="1"/>
        <rFont val="Times New Roman"/>
        <family val="1"/>
      </rPr>
      <t xml:space="preserve"> for the university (In FY19 and years past we allocated monies from our foundation account to purchase most of our equipment)</t>
    </r>
  </si>
  <si>
    <t>FY20 Baseline - Uniforms, apparel, gear and balls previously all paid for out of Foundation.</t>
  </si>
  <si>
    <r>
      <rPr>
        <b/>
        <sz val="10"/>
        <color theme="1"/>
        <rFont val="Calibri"/>
        <family val="2"/>
        <scheme val="minor"/>
      </rPr>
      <t>INCREASED REVENUE</t>
    </r>
    <r>
      <rPr>
        <sz val="10"/>
        <color theme="1"/>
        <rFont val="Calibri"/>
        <family val="2"/>
        <scheme val="minor"/>
      </rPr>
      <t xml:space="preserve"> - present system is old and deteriorated. Needs replacement as recommended by Colorado Time Systems.</t>
    </r>
  </si>
  <si>
    <t>Batting Practice Ball Cart</t>
  </si>
  <si>
    <t>FY20 Baseline - GI Salary FY17, FY18 &amp; FY19 NCAA Quasi Endowment Fund.</t>
  </si>
  <si>
    <t>Rec Center</t>
  </si>
  <si>
    <t>FY20 Baseline - One GI salary that was NCAA Quasi Endowment funded plus $500 increase for each GI.</t>
  </si>
  <si>
    <t>FY20 Baseline - $9,600 for part-time AT was NCAA Quasi Endowment funded.</t>
  </si>
  <si>
    <t>FY20 Baseline - Addition of 1 MD for M &amp; W home soccer games.</t>
  </si>
  <si>
    <t>FY20 Baseline - Concussion IMPACT</t>
  </si>
  <si>
    <t>FY20 Baseline - Medical supplies to include required inventory, braces and orthodics.</t>
  </si>
  <si>
    <t>We recruit mostly instate. This aligns with goals of university and should increase enrollment</t>
  </si>
  <si>
    <t>Uniforms and warm-ups are needed. As of now, we peacemeal the uniform which never match and currently breaks NCAA uniform rules.</t>
  </si>
  <si>
    <t>M I/O Track &amp; Field</t>
  </si>
  <si>
    <t>High Jump Mat</t>
  </si>
  <si>
    <t>High jump mat has 2-3 more years before needing to replace.</t>
  </si>
  <si>
    <t>Hurdles</t>
  </si>
  <si>
    <t>Needed to host home meets.</t>
  </si>
  <si>
    <t>SQ Park</t>
  </si>
  <si>
    <t>Ribbons, Flags and Stakes</t>
  </si>
  <si>
    <t>Currently we use caution tape and old ribbons/flagging.</t>
  </si>
  <si>
    <t>W I/O Track &amp; Field</t>
  </si>
  <si>
    <t>Portable Indoor Shot Ring w/Toe Bar</t>
  </si>
  <si>
    <t>Track</t>
  </si>
  <si>
    <t>Fieldhouse</t>
  </si>
  <si>
    <t>Pole Vault Top Mat</t>
  </si>
  <si>
    <t xml:space="preserve">DPS reduction attributed to a new full-time position. </t>
  </si>
  <si>
    <t>FY20 (B) The need to have a full-time positon is imperative for continued operations (see attached proposal). Salary $37,921 00 plus University composite rate at .7494 for fringe benefits.</t>
  </si>
  <si>
    <t>Intercollegiate Athletics</t>
  </si>
  <si>
    <t>the Business Manager and the Director of Athletics, and involved an explanation of the</t>
  </si>
  <si>
    <t>Individual meetings were held with each unit and sport.  Meetings were conducted by</t>
  </si>
  <si>
    <t>by the Business Manager in developing the current draft.</t>
  </si>
  <si>
    <t>IBM process and a request for unit-specific data.  That data was collected and reviewed</t>
  </si>
  <si>
    <t>Brian Barrio</t>
  </si>
  <si>
    <t>Funding to Recruit Prospective Student-Athletes</t>
  </si>
  <si>
    <t xml:space="preserve">All proposed spending within Intercollegiate Athletics is intended to support one or more of the four strategic priorities and/or to enhance safety for student-athletes.  Baseline athletics operations related to fielding competitive intercollegiate programs aim to increase CCSU enrollment by providing positive marketing and visibility for the institution.  Recruiting expenditures help ensure that coaches can bring qualified student-athletes to CCSU and maintain compliance with Federal Title IX gender equity and roster management numbers.  Several areas of expenditures identified on the spreadsheet aim to both support enrollment by improving competitive quality of CCSU programs, and also generate additional revenue and provide community engagement by facilitating increased numbers of attendees at sports camps and clinics.  There are some expenditures listed that directly impact health/safety - particularly those requests related to the Athletic Training Center and Strength and Conditioning.  From a health and safety standpoint, we are currently short on available hours from our strength and conditioning staff to permit monitoring of strength and conditioning workouts in the performance center for all teams, male and female.  It is not advisable from a safety standpoint to permit student-athletes to workout unsupervised, and the NCAA requires that any athletics staff monitoring such workouts be certified and maintain current certification through a nationally accredited strength and conditioning certification program.  </t>
  </si>
  <si>
    <t>While many Intercollegiate Athletics activities are independent from other areas of the institution, the Intercollegiate Athletics Department has worked closely with other departments/offices wherever strategic partnerships are possible to reduce costs.  Examples include combined marketing efforts with Institutional Advancement and the Office of the President for home athletics events; Homecoming activities; partnerships with the Office of the Provost related to academic support for student-athletes and performance opportunities for the pep band at home contests; recent game marketing/promotional partnerships with the Student Health Center, Rec Sports, and Residential Life.</t>
  </si>
  <si>
    <t xml:space="preserve">In the most recent NEC Commissioner's Cup standings, based on place finish in sponsored sports, CCSU earned 179.30 points combined across men's and women's sports.  </t>
  </si>
  <si>
    <t>With the benefit of two years of recruiting enhancements, CCSU would see a substantial improvement in the quality of recruited student-athletes, resulting in a higher Commissioner's Cup finish.</t>
  </si>
  <si>
    <t xml:space="preserve">Creating an Administrator I level position within Strength and Conditioning, to replace a part-time lecturer position; increase credit load of second part-time lecturer position </t>
  </si>
  <si>
    <t>Currently, due to wage and hour restrictions, there are not enough staff hours available each week to provide supervision for team conditioning sessions.  As a result, student-athletes may engage in unsupervised strength training</t>
  </si>
  <si>
    <t>This change in staffing would provide a direct benefit to student-athlete health and safety by allowing coverage for all team strength and conditioning workouts</t>
  </si>
  <si>
    <t>Currently all coaches are required to fundraise 100% of their recruiting budgets, as no recruiting funding is built into team operating budgets.  This proposal would provide baseline funding annually for expected recruiting.  While teams will still need to supplement recruiting budgets with fundraised funds, they will go into the fiscal year with some baseline funding available to contact and evaluate prospective student-athletes.  This will also allow more fundraised dollars to supplement equipment and travel budgets.  The combined effect will be to help raise the level of recruiting and retention on all teams.</t>
  </si>
  <si>
    <t xml:space="preserve">Making these two changes within the staffing of the Strength and Conditioning unit would add 23 hours per week of additional training supervision and direction within the unit.  The cost for moving the first full-time lecturer to an Administrator I position would consist of burden on the move from 19 hours to FT.  The salary would remain unchanged.    Cost would be approximately $10K in additional salary for the part-time lecturer moving to 8 credit load hours.  These two changes would allow all intercollegiate teams to receive conditioning direction and instruction without risking non-compliance with federal wage and hour regulations.  </t>
  </si>
  <si>
    <t>FY19 and FY20 are 3 year averages.</t>
  </si>
  <si>
    <t>FY19 and FY20 significant increase in state van costs.</t>
  </si>
  <si>
    <t>FY20 5% estimated increase over FY19.</t>
  </si>
  <si>
    <t>DPS/OE Base Allocation Reduction</t>
  </si>
  <si>
    <t>Ability to practice in the new facility. Without the circle we are forced to other venues for training.</t>
  </si>
  <si>
    <t>A new mat is needed to replace the old and wornout mat. The outside is coming apart and the foam is turning to dust which the students land on.</t>
  </si>
  <si>
    <t>Facility</t>
  </si>
  <si>
    <t>Diving Boards</t>
  </si>
  <si>
    <t>To meet standards.</t>
  </si>
  <si>
    <t>Fields</t>
  </si>
  <si>
    <t>Honda Pioneer Snow Plow</t>
  </si>
  <si>
    <t>Snow plow equipment to clear Athletics fields thus eliminating the cost for Facilities snow removal.</t>
  </si>
  <si>
    <t>FY20 Univ. Asst. for 12 months</t>
  </si>
  <si>
    <t>FY20 Student Help to assist in staffing the cage.</t>
  </si>
  <si>
    <t xml:space="preserve">The basic operations of sport budgets and support areas are impacted by the 3% reduction. Therefore, fundraising efforts that would additionally benefit sport programs would need to first supplement budgets.  </t>
  </si>
  <si>
    <t>None of the budgeted revenue could be used since the funding supplements the DPS/OE base budget allocation.</t>
  </si>
  <si>
    <t>Multiple Revenue Banner Indexes</t>
  </si>
  <si>
    <t>ATHL61</t>
  </si>
  <si>
    <t>Athletic Special Assistance Fund</t>
  </si>
  <si>
    <t>SAF funds are to be used to assist student-athletes in meeting financial needs that arise in conjunction with participation in intercollegiate athletics, enrollment in an academic curriculum or to recognize academic achievement as determined by the conference office.</t>
  </si>
  <si>
    <t>A signification portion of this fund has been used for summer school tuition thereby curtailing it's use for other student-athlete purposes.  Examples of assistance with this fund are medical expenses not covered by insurance, emergency student-athlete travel and student-athlete development.</t>
  </si>
  <si>
    <t>None of the SAF could be used since the funding is earmarked for specific student-athlete purposes.</t>
  </si>
  <si>
    <t>FY19 is an estimate and FY20 is a 4 year average.</t>
  </si>
  <si>
    <t>Total Athletics Other Funds</t>
  </si>
  <si>
    <t>Athletics Foundation and Athletics Estimated Revenue</t>
  </si>
  <si>
    <t>This is the funding requested by Athletics to break even after anticipated University support.</t>
  </si>
  <si>
    <t>Athletics to balance FY19 estimated deficit.</t>
  </si>
  <si>
    <t>Department Indexes - Overall Net Deficit</t>
  </si>
  <si>
    <t>ATHL47 Sports Performance</t>
  </si>
  <si>
    <t>ATHL42, ATHL47, MENS40, MENS43, MENS50, WMNS41, WMNS45, WMNS46, WMNS47, WMNS50, WMNS51</t>
  </si>
  <si>
    <t>Capital Equipment Request ($1,000+)</t>
  </si>
  <si>
    <t>MENS40, MENS50, WMNS46, WMNS48</t>
  </si>
  <si>
    <t>Equipment Request (Below $1,000)</t>
  </si>
  <si>
    <t>MENS40, MENS41, MENS42, MENS43, MENS46, MENS50, WMNS41, WMNS42, WMNS45, WMNS46, WMNS47, WMNS48, WMNS50, WMNS51</t>
  </si>
  <si>
    <t>All requests represent replacements of necessary equipment or funding for an unmet need.</t>
  </si>
  <si>
    <t>See Management Feedback tab</t>
  </si>
  <si>
    <t>Baseline spending that represents an increase over FY19 – consists of baseline expenditures that have been made from foundation accounts in recent years (e.g. team travel; game officials) as well as cyclical baseline costs (e.g. uniforms) that arise in FY20 and did not in the previous several years’ budgets.</t>
  </si>
  <si>
    <t>Included on Management's One-Time Request - request is to fund basic recruiting of incoming student-athletes. Current budget does not account for any recruiting expenditures. Requested funding will assist with enrollment and revenue generation.</t>
  </si>
  <si>
    <t>Included on Management's Permanent Budget Request - request is to fill a critical need in the area of sports performance. NCAA Bylaw 11.1.5 requires the presence of a certified strength and conditioning coach for student-athlete conditioning workouts. Due to federal wage and hour limitations on the current part-time strength and conditioning staff, not all varsity teams can be accommodated with supervised workouts during the week. The current shortage of staff hours presents gender equity and safety concerns.</t>
  </si>
  <si>
    <t>Does not include $20,000 for Sound System. This item is on Management's Capital Equipment Request. All requests represent replacements of necessary equipment or funding for an unmet need.</t>
  </si>
  <si>
    <t xml:space="preserve"> </t>
  </si>
  <si>
    <t>VPIA</t>
  </si>
  <si>
    <t>Chris Galligan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</si>
</sst>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41" formatCode="_(* #,##0_);_(* \(#,##0\);_(* &quot;-&quot;_);_(@_)"/>
    <numFmt numFmtId="44" formatCode="_(&quot;$&quot;* #,##0.00_);_(&quot;$&quot;* \(#,##0.00\);_(&quot;$&quot;* &quot;-&quot;??_);_(@_)"/>
    <numFmt numFmtId="164" formatCode="_(* #,##0_);_(* \(#,##0\);_(* &quot;-&quot;??_);_(@_)"/>
    <numFmt numFmtId="165" formatCode="_(&quot;$&quot;* #,##0_);_(&quot;$&quot;* \(#,##0\);_(&quot;$&quot;* &quot;-&quot;??_);_(@_)"/>
    <numFmt numFmtId="166" formatCode="&quot;$&quot;#,##0.00"/>
  </numFmts>
  <fonts count="57" x14ac:knownFonts="1">
    <font>
      <sz val="11"/>
      <color theme="1"/>
      <name val="Calibri"/>
      <family val="2"/>
    </font>
    <font>
      <sz val="11"/>
      <color theme="1"/>
      <name val="Calibri"/>
      <family val="2"/>
      <scheme val="minor"/>
    </font>
    <font>
      <sz val="11"/>
      <color theme="1"/>
      <name val="Calibri"/>
      <family val="2"/>
      <scheme val="minor"/>
    </font>
    <font>
      <sz val="14"/>
      <color rgb="FF222222"/>
      <name val="Arial"/>
      <family val="2"/>
    </font>
    <font>
      <b/>
      <sz val="11"/>
      <color theme="1"/>
      <name val="Calibri"/>
      <family val="2"/>
    </font>
    <font>
      <sz val="10"/>
      <color theme="1"/>
      <name val="Calibri"/>
      <family val="2"/>
    </font>
    <font>
      <b/>
      <sz val="10"/>
      <color theme="1"/>
      <name val="Calibri"/>
      <family val="2"/>
    </font>
    <font>
      <sz val="11"/>
      <color theme="1"/>
      <name val="Calibri"/>
      <family val="2"/>
      <scheme val="minor"/>
    </font>
    <font>
      <b/>
      <sz val="11"/>
      <name val="Arial"/>
      <family val="2"/>
    </font>
    <font>
      <b/>
      <sz val="10"/>
      <name val="Arial"/>
      <family val="2"/>
    </font>
    <font>
      <i/>
      <sz val="9"/>
      <name val="Arial"/>
      <family val="2"/>
    </font>
    <font>
      <b/>
      <sz val="14"/>
      <name val="Arial"/>
      <family val="2"/>
    </font>
    <font>
      <b/>
      <sz val="10"/>
      <color rgb="FFFF0000"/>
      <name val="Arial"/>
      <family val="2"/>
    </font>
    <font>
      <b/>
      <sz val="9"/>
      <name val="Arial"/>
      <family val="2"/>
    </font>
    <font>
      <sz val="10"/>
      <name val="Arial"/>
      <family val="2"/>
    </font>
    <font>
      <sz val="10"/>
      <color theme="1"/>
      <name val="Arial"/>
      <family val="2"/>
    </font>
    <font>
      <sz val="8"/>
      <name val="Arial"/>
      <family val="2"/>
    </font>
    <font>
      <sz val="9"/>
      <name val="Microsoft Sans Serif"/>
      <family val="2"/>
      <charset val="204"/>
    </font>
    <font>
      <b/>
      <sz val="10"/>
      <name val="Calibri"/>
      <family val="2"/>
    </font>
    <font>
      <sz val="20"/>
      <color theme="1"/>
      <name val="Calibri"/>
      <family val="2"/>
    </font>
    <font>
      <sz val="11"/>
      <color theme="1"/>
      <name val="Calibri"/>
      <family val="2"/>
    </font>
    <font>
      <sz val="8"/>
      <name val="Microsoft Sans Serif"/>
      <family val="2"/>
      <charset val="204"/>
    </font>
    <font>
      <sz val="12"/>
      <color theme="1"/>
      <name val="Times New Roman"/>
      <family val="1"/>
    </font>
    <font>
      <b/>
      <sz val="12"/>
      <color theme="1"/>
      <name val="Calibri"/>
      <family val="2"/>
    </font>
    <font>
      <sz val="11"/>
      <color theme="1"/>
      <name val="Times New Roman"/>
      <family val="1"/>
    </font>
    <font>
      <sz val="10"/>
      <color theme="1"/>
      <name val="Calibri"/>
      <family val="2"/>
      <scheme val="minor"/>
    </font>
    <font>
      <b/>
      <sz val="10"/>
      <color theme="1"/>
      <name val="Calibri"/>
      <family val="2"/>
      <scheme val="minor"/>
    </font>
    <font>
      <b/>
      <sz val="16"/>
      <color theme="1"/>
      <name val="Calibri"/>
      <family val="2"/>
    </font>
    <font>
      <sz val="12"/>
      <color theme="1"/>
      <name val="Calibri"/>
      <family val="2"/>
    </font>
    <font>
      <b/>
      <sz val="14"/>
      <color theme="1"/>
      <name val="Calibri"/>
      <family val="2"/>
    </font>
    <font>
      <u/>
      <sz val="11"/>
      <color theme="10"/>
      <name val="Calibri"/>
      <family val="2"/>
    </font>
    <font>
      <sz val="11"/>
      <name val="Calibri"/>
      <family val="2"/>
    </font>
    <font>
      <b/>
      <u/>
      <sz val="11"/>
      <color theme="3"/>
      <name val="Calibri"/>
      <family val="2"/>
    </font>
    <font>
      <sz val="12"/>
      <name val="Times New Roman"/>
      <family val="1"/>
    </font>
    <font>
      <b/>
      <sz val="14"/>
      <color theme="1"/>
      <name val="Times New Roman"/>
      <family val="1"/>
    </font>
    <font>
      <sz val="14"/>
      <color theme="1"/>
      <name val="Times New Roman"/>
      <family val="1"/>
    </font>
    <font>
      <b/>
      <sz val="12"/>
      <color theme="1"/>
      <name val="Times New Roman"/>
      <family val="1"/>
    </font>
    <font>
      <sz val="10"/>
      <name val="Times New Roman"/>
      <family val="1"/>
    </font>
    <font>
      <sz val="14"/>
      <color rgb="FFFF0000"/>
      <name val="Times New Roman"/>
      <family val="1"/>
    </font>
    <font>
      <b/>
      <sz val="11"/>
      <color theme="1"/>
      <name val="Times New Roman"/>
      <family val="1"/>
    </font>
    <font>
      <b/>
      <sz val="10"/>
      <color theme="0"/>
      <name val="Times New Roman"/>
      <family val="1"/>
    </font>
    <font>
      <b/>
      <sz val="10"/>
      <color theme="1"/>
      <name val="Times New Roman"/>
      <family val="1"/>
    </font>
    <font>
      <sz val="10"/>
      <color theme="1"/>
      <name val="Times New Roman"/>
      <family val="1"/>
    </font>
    <font>
      <b/>
      <sz val="16"/>
      <color theme="1"/>
      <name val="Times New Roman"/>
      <family val="1"/>
    </font>
    <font>
      <b/>
      <sz val="12"/>
      <color rgb="FF000000"/>
      <name val="Times New Roman"/>
      <family val="1"/>
    </font>
    <font>
      <i/>
      <sz val="12"/>
      <color theme="1"/>
      <name val="Times New Roman"/>
      <family val="1"/>
    </font>
    <font>
      <sz val="12"/>
      <color rgb="FFFF0000"/>
      <name val="Times New Roman"/>
      <family val="1"/>
    </font>
    <font>
      <b/>
      <sz val="11"/>
      <color rgb="FF000000"/>
      <name val="Times New Roman"/>
      <family val="1"/>
    </font>
    <font>
      <sz val="10"/>
      <name val="Calibri"/>
      <family val="2"/>
    </font>
    <font>
      <b/>
      <sz val="10"/>
      <color rgb="FFFF0000"/>
      <name val="Calibri"/>
      <family val="2"/>
    </font>
    <font>
      <b/>
      <u/>
      <sz val="11"/>
      <color theme="8"/>
      <name val="Calibri"/>
      <family val="2"/>
    </font>
    <font>
      <u/>
      <sz val="11"/>
      <color theme="8"/>
      <name val="Calibri"/>
      <family val="2"/>
    </font>
    <font>
      <b/>
      <sz val="12"/>
      <color rgb="FFFF0000"/>
      <name val="Times New Roman"/>
      <family val="1"/>
    </font>
    <font>
      <b/>
      <sz val="14"/>
      <color rgb="FFFF0000"/>
      <name val="Times New Roman"/>
      <family val="1"/>
    </font>
    <font>
      <b/>
      <sz val="10"/>
      <color rgb="FFFF0000"/>
      <name val="Times New Roman"/>
      <family val="1"/>
    </font>
    <font>
      <sz val="10"/>
      <color rgb="FFFF0000"/>
      <name val="Times New Roman"/>
      <family val="1"/>
    </font>
    <font>
      <b/>
      <sz val="11"/>
      <color rgb="FFFF0000"/>
      <name val="Calibri"/>
      <family val="2"/>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bgColor theme="4" tint="-0.24994659260841701"/>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s>
  <cellStyleXfs count="12">
    <xf numFmtId="0" fontId="0" fillId="0" borderId="0"/>
    <xf numFmtId="0" fontId="7" fillId="0" borderId="0"/>
    <xf numFmtId="44" fontId="7" fillId="0" borderId="0" applyFont="0" applyFill="0" applyBorder="0" applyAlignment="0" applyProtection="0"/>
    <xf numFmtId="0" fontId="17" fillId="0" borderId="0"/>
    <xf numFmtId="9" fontId="20" fillId="0" borderId="0" applyFont="0" applyFill="0" applyBorder="0" applyAlignment="0" applyProtection="0"/>
    <xf numFmtId="0" fontId="21" fillId="0" borderId="0"/>
    <xf numFmtId="44" fontId="20" fillId="0" borderId="0" applyFont="0" applyFill="0" applyBorder="0" applyAlignment="0" applyProtection="0"/>
    <xf numFmtId="0" fontId="30" fillId="0" borderId="0" applyNumberFormat="0" applyFill="0" applyBorder="0" applyAlignment="0" applyProtection="0"/>
    <xf numFmtId="0" fontId="2" fillId="0" borderId="0"/>
    <xf numFmtId="44" fontId="2" fillId="0" borderId="0" applyFont="0" applyFill="0" applyBorder="0" applyAlignment="0" applyProtection="0"/>
    <xf numFmtId="0" fontId="14" fillId="0" borderId="0"/>
    <xf numFmtId="0" fontId="1" fillId="0" borderId="0"/>
  </cellStyleXfs>
  <cellXfs count="431">
    <xf numFmtId="0" fontId="0" fillId="0" borderId="0" xfId="0"/>
    <xf numFmtId="0" fontId="5" fillId="0" borderId="0" xfId="0" applyFont="1"/>
    <xf numFmtId="0" fontId="5" fillId="3" borderId="0" xfId="0" applyFont="1" applyFill="1"/>
    <xf numFmtId="0" fontId="8" fillId="0" borderId="0" xfId="1" applyFont="1" applyFill="1" applyBorder="1"/>
    <xf numFmtId="0" fontId="8" fillId="0" borderId="0" xfId="1" applyFont="1" applyFill="1" applyBorder="1" applyAlignment="1">
      <alignment horizontal="center"/>
    </xf>
    <xf numFmtId="164" fontId="8" fillId="0" borderId="0" xfId="2" applyNumberFormat="1" applyFont="1" applyFill="1" applyBorder="1" applyAlignment="1">
      <alignment horizontal="center"/>
    </xf>
    <xf numFmtId="37" fontId="8" fillId="0" borderId="0" xfId="2" applyNumberFormat="1" applyFont="1" applyFill="1" applyBorder="1" applyAlignment="1">
      <alignment horizontal="center"/>
    </xf>
    <xf numFmtId="5" fontId="8" fillId="0" borderId="0" xfId="2" applyNumberFormat="1" applyFont="1" applyFill="1" applyBorder="1" applyAlignment="1"/>
    <xf numFmtId="5" fontId="8" fillId="0" borderId="0" xfId="2" applyNumberFormat="1" applyFont="1" applyFill="1" applyBorder="1" applyAlignment="1">
      <alignment horizontal="center"/>
    </xf>
    <xf numFmtId="5" fontId="8" fillId="0" borderId="0" xfId="2" applyNumberFormat="1" applyFont="1" applyFill="1" applyBorder="1"/>
    <xf numFmtId="164" fontId="8" fillId="0" borderId="0" xfId="2" applyNumberFormat="1" applyFont="1" applyFill="1" applyBorder="1"/>
    <xf numFmtId="164" fontId="8" fillId="0" borderId="0" xfId="2" applyNumberFormat="1" applyFont="1" applyFill="1" applyBorder="1" applyAlignment="1"/>
    <xf numFmtId="37" fontId="8" fillId="0" borderId="0" xfId="1" applyNumberFormat="1" applyFont="1" applyFill="1" applyBorder="1" applyAlignment="1"/>
    <xf numFmtId="49" fontId="8" fillId="0" borderId="0" xfId="1" applyNumberFormat="1" applyFont="1" applyFill="1" applyBorder="1"/>
    <xf numFmtId="0" fontId="9" fillId="0" borderId="0" xfId="1" applyFont="1" applyFill="1" applyBorder="1"/>
    <xf numFmtId="0" fontId="9" fillId="0" borderId="0" xfId="1" applyFont="1" applyFill="1" applyBorder="1" applyAlignment="1">
      <alignment horizontal="center"/>
    </xf>
    <xf numFmtId="0" fontId="10" fillId="0" borderId="2" xfId="1" applyFont="1" applyFill="1" applyBorder="1" applyAlignment="1">
      <alignment horizontal="center"/>
    </xf>
    <xf numFmtId="164" fontId="9" fillId="0" borderId="0" xfId="2" applyNumberFormat="1" applyFont="1" applyFill="1" applyBorder="1" applyAlignment="1">
      <alignment horizontal="center"/>
    </xf>
    <xf numFmtId="37" fontId="9" fillId="0" borderId="0" xfId="2" applyNumberFormat="1" applyFont="1" applyFill="1" applyBorder="1" applyAlignment="1">
      <alignment horizontal="center"/>
    </xf>
    <xf numFmtId="5" fontId="9" fillId="0" borderId="0" xfId="2" applyNumberFormat="1" applyFont="1" applyFill="1" applyBorder="1" applyAlignment="1"/>
    <xf numFmtId="5" fontId="9" fillId="0" borderId="0" xfId="2" applyNumberFormat="1" applyFont="1" applyFill="1" applyBorder="1" applyAlignment="1">
      <alignment horizontal="center"/>
    </xf>
    <xf numFmtId="164" fontId="11" fillId="0" borderId="0" xfId="2" applyNumberFormat="1" applyFont="1" applyFill="1" applyBorder="1" applyAlignment="1">
      <alignment horizontal="center"/>
    </xf>
    <xf numFmtId="5" fontId="9" fillId="0" borderId="0" xfId="2" applyNumberFormat="1" applyFont="1" applyFill="1" applyBorder="1"/>
    <xf numFmtId="164" fontId="9" fillId="0" borderId="0" xfId="2" applyNumberFormat="1" applyFont="1" applyFill="1" applyBorder="1"/>
    <xf numFmtId="164" fontId="9" fillId="0" borderId="0" xfId="2" applyNumberFormat="1" applyFont="1" applyFill="1" applyBorder="1" applyAlignment="1"/>
    <xf numFmtId="37" fontId="9" fillId="0" borderId="0" xfId="1" applyNumberFormat="1" applyFont="1" applyFill="1" applyBorder="1" applyAlignment="1"/>
    <xf numFmtId="49" fontId="9" fillId="0" borderId="0" xfId="1" applyNumberFormat="1" applyFont="1" applyFill="1" applyBorder="1"/>
    <xf numFmtId="0" fontId="12" fillId="0" borderId="2" xfId="1" applyFont="1" applyFill="1" applyBorder="1" applyAlignment="1">
      <alignment horizontal="center" wrapText="1"/>
    </xf>
    <xf numFmtId="0" fontId="13" fillId="0" borderId="3" xfId="1" applyFont="1" applyFill="1" applyBorder="1" applyAlignment="1">
      <alignment horizontal="center" wrapText="1"/>
    </xf>
    <xf numFmtId="0" fontId="9" fillId="0" borderId="3" xfId="1" applyFont="1" applyFill="1" applyBorder="1" applyAlignment="1">
      <alignment horizontal="center" wrapText="1"/>
    </xf>
    <xf numFmtId="164" fontId="9" fillId="0" borderId="3" xfId="2" applyNumberFormat="1" applyFont="1" applyFill="1" applyBorder="1" applyAlignment="1">
      <alignment horizontal="center" wrapText="1"/>
    </xf>
    <xf numFmtId="37" fontId="9" fillId="0" borderId="3" xfId="2" applyNumberFormat="1" applyFont="1" applyFill="1" applyBorder="1" applyAlignment="1">
      <alignment horizontal="center" wrapText="1"/>
    </xf>
    <xf numFmtId="5" fontId="9" fillId="0" borderId="3" xfId="2" applyNumberFormat="1" applyFont="1" applyFill="1" applyBorder="1" applyAlignment="1">
      <alignment horizontal="center" wrapText="1"/>
    </xf>
    <xf numFmtId="44" fontId="9" fillId="0" borderId="3" xfId="2" applyFont="1" applyFill="1" applyBorder="1" applyAlignment="1">
      <alignment horizontal="center" wrapText="1"/>
    </xf>
    <xf numFmtId="49" fontId="9" fillId="0" borderId="3" xfId="1" applyNumberFormat="1" applyFont="1" applyFill="1" applyBorder="1" applyAlignment="1">
      <alignment horizontal="center"/>
    </xf>
    <xf numFmtId="0" fontId="9" fillId="0" borderId="0" xfId="1" applyFont="1" applyFill="1" applyBorder="1" applyAlignment="1"/>
    <xf numFmtId="0" fontId="9" fillId="0" borderId="0" xfId="1" applyFont="1" applyFill="1" applyBorder="1" applyAlignment="1">
      <alignment horizontal="center" wrapText="1"/>
    </xf>
    <xf numFmtId="164" fontId="9" fillId="0" borderId="0" xfId="2" applyNumberFormat="1" applyFont="1" applyFill="1" applyBorder="1" applyAlignment="1">
      <alignment horizontal="center" wrapText="1"/>
    </xf>
    <xf numFmtId="5" fontId="9" fillId="0" borderId="0" xfId="2" applyNumberFormat="1" applyFont="1" applyFill="1" applyBorder="1" applyAlignment="1">
      <alignment horizontal="center" wrapText="1"/>
    </xf>
    <xf numFmtId="44" fontId="9" fillId="0" borderId="0" xfId="2" applyFont="1" applyFill="1" applyBorder="1" applyAlignment="1">
      <alignment horizontal="center" wrapText="1"/>
    </xf>
    <xf numFmtId="49" fontId="9" fillId="0" borderId="0" xfId="1" applyNumberFormat="1" applyFont="1" applyFill="1" applyBorder="1" applyAlignment="1">
      <alignment horizontal="center"/>
    </xf>
    <xf numFmtId="0" fontId="14" fillId="0" borderId="0" xfId="1" applyFont="1" applyFill="1" applyBorder="1" applyAlignment="1">
      <alignment vertical="top"/>
    </xf>
    <xf numFmtId="0" fontId="14" fillId="0" borderId="0" xfId="1" applyFont="1" applyFill="1" applyBorder="1" applyAlignment="1">
      <alignment horizontal="center" vertical="top"/>
    </xf>
    <xf numFmtId="9" fontId="14" fillId="0" borderId="0" xfId="1" applyNumberFormat="1" applyFont="1" applyFill="1" applyBorder="1" applyAlignment="1">
      <alignment vertical="top" wrapText="1"/>
    </xf>
    <xf numFmtId="6" fontId="14" fillId="0" borderId="0" xfId="1" applyNumberFormat="1" applyFont="1" applyFill="1" applyBorder="1" applyAlignment="1">
      <alignment vertical="top" wrapText="1"/>
    </xf>
    <xf numFmtId="164" fontId="14" fillId="0" borderId="0" xfId="2" applyNumberFormat="1" applyFont="1" applyFill="1" applyBorder="1" applyAlignment="1">
      <alignment horizontal="center" vertical="top"/>
    </xf>
    <xf numFmtId="37" fontId="14" fillId="0" borderId="0" xfId="2" applyNumberFormat="1" applyFont="1" applyFill="1" applyBorder="1" applyAlignment="1">
      <alignment horizontal="center" vertical="top"/>
    </xf>
    <xf numFmtId="5" fontId="14" fillId="0" borderId="0" xfId="2" applyNumberFormat="1" applyFont="1" applyFill="1" applyBorder="1" applyAlignment="1">
      <alignment vertical="top"/>
    </xf>
    <xf numFmtId="5" fontId="14" fillId="0" borderId="0" xfId="2" applyNumberFormat="1" applyFont="1" applyFill="1" applyBorder="1" applyAlignment="1">
      <alignment horizontal="center" vertical="top"/>
    </xf>
    <xf numFmtId="164" fontId="14" fillId="0" borderId="0" xfId="2" applyNumberFormat="1" applyFont="1" applyFill="1" applyBorder="1" applyAlignment="1">
      <alignment vertical="top"/>
    </xf>
    <xf numFmtId="37" fontId="14" fillId="0" borderId="0" xfId="1" applyNumberFormat="1" applyFont="1" applyFill="1" applyBorder="1" applyAlignment="1">
      <alignment vertical="top"/>
    </xf>
    <xf numFmtId="49" fontId="14" fillId="0" borderId="0" xfId="1" applyNumberFormat="1" applyFont="1" applyFill="1" applyBorder="1" applyAlignment="1">
      <alignment vertical="top" wrapText="1"/>
    </xf>
    <xf numFmtId="49" fontId="14" fillId="0" borderId="0" xfId="1" applyNumberFormat="1" applyFont="1" applyFill="1" applyBorder="1" applyAlignment="1">
      <alignment horizontal="center" vertical="top"/>
    </xf>
    <xf numFmtId="49" fontId="14" fillId="0" borderId="0" xfId="1" applyNumberFormat="1" applyFont="1" applyAlignment="1">
      <alignment horizontal="center"/>
    </xf>
    <xf numFmtId="9" fontId="14" fillId="0" borderId="0" xfId="1" applyNumberFormat="1" applyFont="1" applyFill="1" applyBorder="1" applyAlignment="1">
      <alignment horizontal="center" vertical="top" wrapText="1"/>
    </xf>
    <xf numFmtId="0" fontId="14" fillId="0" borderId="0" xfId="1" applyFont="1" applyAlignment="1">
      <alignment wrapText="1"/>
    </xf>
    <xf numFmtId="5" fontId="15" fillId="0" borderId="0" xfId="1" applyNumberFormat="1" applyFont="1"/>
    <xf numFmtId="5" fontId="15" fillId="0" borderId="0" xfId="1" applyNumberFormat="1" applyFont="1" applyFill="1"/>
    <xf numFmtId="49" fontId="15" fillId="0" borderId="0" xfId="1" applyNumberFormat="1" applyFont="1" applyAlignment="1">
      <alignment horizontal="left" wrapText="1"/>
    </xf>
    <xf numFmtId="0" fontId="14" fillId="0" borderId="0" xfId="1" applyFont="1" applyFill="1" applyBorder="1"/>
    <xf numFmtId="0" fontId="14" fillId="0" borderId="0" xfId="1" applyFont="1" applyFill="1" applyBorder="1" applyAlignment="1">
      <alignment horizontal="center"/>
    </xf>
    <xf numFmtId="0" fontId="15" fillId="0" borderId="0" xfId="1" applyFont="1" applyAlignment="1">
      <alignment wrapText="1"/>
    </xf>
    <xf numFmtId="164" fontId="14" fillId="0" borderId="0" xfId="2" applyNumberFormat="1" applyFont="1" applyFill="1" applyBorder="1" applyAlignment="1">
      <alignment horizontal="center"/>
    </xf>
    <xf numFmtId="164" fontId="14" fillId="0" borderId="0" xfId="2" applyNumberFormat="1" applyFont="1" applyFill="1" applyBorder="1"/>
    <xf numFmtId="37" fontId="14" fillId="0" borderId="0" xfId="1" applyNumberFormat="1" applyFont="1" applyFill="1" applyBorder="1" applyAlignment="1"/>
    <xf numFmtId="0" fontId="15" fillId="0" borderId="0" xfId="1" applyFont="1" applyFill="1" applyAlignment="1">
      <alignment wrapText="1"/>
    </xf>
    <xf numFmtId="5" fontId="14" fillId="0" borderId="0" xfId="2" applyNumberFormat="1" applyFont="1" applyFill="1" applyBorder="1" applyAlignment="1">
      <alignment horizontal="center"/>
    </xf>
    <xf numFmtId="49" fontId="14" fillId="0" borderId="0" xfId="1" applyNumberFormat="1" applyFont="1" applyAlignment="1">
      <alignment horizontal="left" wrapText="1"/>
    </xf>
    <xf numFmtId="5" fontId="14" fillId="0" borderId="0" xfId="2" applyNumberFormat="1" applyFont="1" applyFill="1" applyBorder="1"/>
    <xf numFmtId="5" fontId="14" fillId="0" borderId="0" xfId="2" applyNumberFormat="1" applyFont="1" applyFill="1" applyBorder="1" applyAlignment="1"/>
    <xf numFmtId="49" fontId="14" fillId="0" borderId="0" xfId="1" applyNumberFormat="1" applyFont="1" applyFill="1" applyBorder="1"/>
    <xf numFmtId="37" fontId="14" fillId="0" borderId="0" xfId="2" applyNumberFormat="1" applyFont="1" applyFill="1" applyBorder="1" applyAlignment="1">
      <alignment horizontal="center"/>
    </xf>
    <xf numFmtId="5" fontId="14" fillId="5" borderId="4" xfId="2" applyNumberFormat="1" applyFont="1" applyFill="1" applyBorder="1" applyAlignment="1"/>
    <xf numFmtId="164" fontId="14" fillId="0" borderId="0" xfId="2" applyNumberFormat="1" applyFont="1" applyFill="1" applyBorder="1" applyAlignment="1"/>
    <xf numFmtId="0" fontId="12" fillId="0" borderId="0" xfId="1" applyFont="1" applyFill="1" applyBorder="1" applyAlignment="1">
      <alignment horizontal="left"/>
    </xf>
    <xf numFmtId="0" fontId="14" fillId="0" borderId="0" xfId="1" applyFont="1" applyFill="1" applyBorder="1" applyAlignment="1">
      <alignment horizontal="left"/>
    </xf>
    <xf numFmtId="0" fontId="16" fillId="0" borderId="0" xfId="1" applyFont="1" applyFill="1" applyBorder="1" applyAlignment="1">
      <alignment horizontal="left"/>
    </xf>
    <xf numFmtId="0" fontId="17" fillId="0" borderId="0" xfId="3"/>
    <xf numFmtId="0" fontId="17" fillId="0" borderId="0" xfId="3" applyNumberFormat="1" applyFont="1"/>
    <xf numFmtId="0" fontId="6" fillId="0" borderId="0" xfId="0" applyFont="1"/>
    <xf numFmtId="0" fontId="5" fillId="3" borderId="1" xfId="0" applyFont="1" applyFill="1" applyBorder="1"/>
    <xf numFmtId="0" fontId="6" fillId="9" borderId="1" xfId="0" applyFont="1" applyFill="1" applyBorder="1"/>
    <xf numFmtId="0" fontId="5" fillId="3" borderId="1" xfId="0" applyFont="1" applyFill="1" applyBorder="1" applyAlignment="1">
      <alignment horizontal="center"/>
    </xf>
    <xf numFmtId="0" fontId="22" fillId="0" borderId="0" xfId="0" applyFont="1"/>
    <xf numFmtId="5" fontId="22" fillId="0" borderId="0" xfId="0" applyNumberFormat="1" applyFont="1"/>
    <xf numFmtId="0" fontId="22" fillId="3" borderId="0" xfId="0" applyFont="1" applyFill="1"/>
    <xf numFmtId="0" fontId="25" fillId="0" borderId="1" xfId="0" applyFont="1" applyBorder="1" applyAlignment="1">
      <alignment horizontal="center" wrapText="1"/>
    </xf>
    <xf numFmtId="0" fontId="25" fillId="0" borderId="1" xfId="0" applyFont="1" applyBorder="1" applyAlignment="1">
      <alignment wrapText="1"/>
    </xf>
    <xf numFmtId="0" fontId="25" fillId="0" borderId="1" xfId="0" applyFont="1" applyBorder="1"/>
    <xf numFmtId="5" fontId="25" fillId="0" borderId="1" xfId="0" applyNumberFormat="1" applyFont="1" applyBorder="1"/>
    <xf numFmtId="0" fontId="26" fillId="8" borderId="1" xfId="0" applyFont="1" applyFill="1" applyBorder="1" applyAlignment="1">
      <alignment horizontal="center" wrapText="1"/>
    </xf>
    <xf numFmtId="0" fontId="25" fillId="8" borderId="1" xfId="0" applyFont="1" applyFill="1" applyBorder="1"/>
    <xf numFmtId="5" fontId="25" fillId="5" borderId="17" xfId="0" applyNumberFormat="1" applyFont="1" applyFill="1" applyBorder="1"/>
    <xf numFmtId="38" fontId="5" fillId="0" borderId="1" xfId="0" applyNumberFormat="1" applyFont="1" applyFill="1" applyBorder="1"/>
    <xf numFmtId="38" fontId="5" fillId="0" borderId="1" xfId="0" applyNumberFormat="1" applyFont="1" applyBorder="1"/>
    <xf numFmtId="3" fontId="5" fillId="0" borderId="1" xfId="0" applyNumberFormat="1" applyFont="1" applyBorder="1" applyAlignment="1">
      <alignment horizontal="center"/>
    </xf>
    <xf numFmtId="38" fontId="5" fillId="9" borderId="1" xfId="0" applyNumberFormat="1" applyFont="1" applyFill="1" applyBorder="1" applyAlignment="1">
      <alignment horizontal="center"/>
    </xf>
    <xf numFmtId="44" fontId="5" fillId="9" borderId="1" xfId="6" applyFont="1" applyFill="1" applyBorder="1" applyAlignment="1">
      <alignment horizontal="center"/>
    </xf>
    <xf numFmtId="0" fontId="25" fillId="0" borderId="1" xfId="0" applyFont="1" applyBorder="1" applyAlignment="1">
      <alignment horizontal="left"/>
    </xf>
    <xf numFmtId="37" fontId="25" fillId="0" borderId="1" xfId="0" applyNumberFormat="1" applyFont="1" applyBorder="1" applyAlignment="1">
      <alignment horizontal="left"/>
    </xf>
    <xf numFmtId="0" fontId="25" fillId="8" borderId="1" xfId="0" applyFont="1" applyFill="1" applyBorder="1" applyAlignment="1">
      <alignment horizontal="left"/>
    </xf>
    <xf numFmtId="37" fontId="25" fillId="8" borderId="1" xfId="0" applyNumberFormat="1" applyFont="1" applyFill="1" applyBorder="1" applyAlignment="1">
      <alignment horizontal="left"/>
    </xf>
    <xf numFmtId="0" fontId="22" fillId="0" borderId="0" xfId="0" applyFont="1" applyAlignment="1">
      <alignment horizontal="left"/>
    </xf>
    <xf numFmtId="37" fontId="22" fillId="0" borderId="0" xfId="0" applyNumberFormat="1" applyFont="1" applyAlignment="1">
      <alignment horizontal="left"/>
    </xf>
    <xf numFmtId="5" fontId="25" fillId="0" borderId="1" xfId="0" applyNumberFormat="1" applyFont="1" applyBorder="1" applyAlignment="1">
      <alignment horizontal="right"/>
    </xf>
    <xf numFmtId="5" fontId="25" fillId="8" borderId="1" xfId="0" applyNumberFormat="1" applyFont="1" applyFill="1" applyBorder="1" applyAlignment="1">
      <alignment horizontal="right"/>
    </xf>
    <xf numFmtId="5" fontId="22" fillId="0" borderId="0" xfId="0" applyNumberFormat="1" applyFont="1" applyAlignment="1">
      <alignment horizontal="right"/>
    </xf>
    <xf numFmtId="0" fontId="24" fillId="3" borderId="0" xfId="0" applyFont="1" applyFill="1"/>
    <xf numFmtId="0" fontId="18" fillId="3" borderId="1" xfId="0" applyFont="1" applyFill="1" applyBorder="1" applyAlignment="1">
      <alignment horizontal="center" wrapText="1"/>
    </xf>
    <xf numFmtId="0" fontId="18" fillId="3" borderId="1" xfId="0" applyFont="1" applyFill="1" applyBorder="1" applyAlignment="1">
      <alignment horizontal="center"/>
    </xf>
    <xf numFmtId="0" fontId="18" fillId="0" borderId="1" xfId="0" applyFont="1" applyFill="1" applyBorder="1" applyAlignment="1">
      <alignment horizontal="left" wrapText="1"/>
    </xf>
    <xf numFmtId="0" fontId="18" fillId="3" borderId="1" xfId="0" applyFont="1" applyFill="1" applyBorder="1" applyAlignment="1">
      <alignment horizontal="left" wrapText="1"/>
    </xf>
    <xf numFmtId="37" fontId="18" fillId="3" borderId="1" xfId="0" applyNumberFormat="1" applyFont="1" applyFill="1" applyBorder="1" applyAlignment="1">
      <alignment horizontal="left" wrapText="1"/>
    </xf>
    <xf numFmtId="5" fontId="18" fillId="3" borderId="1" xfId="0" applyNumberFormat="1" applyFont="1" applyFill="1" applyBorder="1" applyAlignment="1">
      <alignment horizontal="center" wrapText="1"/>
    </xf>
    <xf numFmtId="0" fontId="18" fillId="0" borderId="1" xfId="0" applyFont="1" applyFill="1" applyBorder="1" applyAlignment="1">
      <alignment wrapText="1"/>
    </xf>
    <xf numFmtId="0" fontId="18" fillId="3" borderId="1" xfId="0" applyFont="1" applyFill="1" applyBorder="1" applyAlignment="1">
      <alignment wrapText="1"/>
    </xf>
    <xf numFmtId="0" fontId="33" fillId="3" borderId="0" xfId="0" applyFont="1" applyFill="1"/>
    <xf numFmtId="5" fontId="18" fillId="3" borderId="1" xfId="0" applyNumberFormat="1" applyFont="1" applyFill="1" applyBorder="1" applyAlignment="1">
      <alignment horizontal="right" wrapText="1"/>
    </xf>
    <xf numFmtId="166" fontId="25" fillId="0" borderId="1" xfId="0" applyNumberFormat="1" applyFont="1" applyBorder="1"/>
    <xf numFmtId="0" fontId="0" fillId="3" borderId="0" xfId="0" applyFont="1" applyFill="1" applyAlignment="1">
      <alignment horizontal="left" wrapText="1"/>
    </xf>
    <xf numFmtId="0" fontId="35" fillId="0" borderId="0" xfId="8" applyFont="1"/>
    <xf numFmtId="0" fontId="34" fillId="0" borderId="1" xfId="8" applyFont="1" applyBorder="1" applyAlignment="1">
      <alignment horizontal="center" wrapText="1"/>
    </xf>
    <xf numFmtId="44" fontId="34" fillId="0" borderId="1" xfId="9" applyFont="1" applyBorder="1" applyAlignment="1">
      <alignment horizontal="center" wrapText="1"/>
    </xf>
    <xf numFmtId="0" fontId="35" fillId="0" borderId="0" xfId="8" applyFont="1" applyAlignment="1">
      <alignment horizontal="center" wrapText="1"/>
    </xf>
    <xf numFmtId="0" fontId="35" fillId="0" borderId="1" xfId="8" applyFont="1" applyBorder="1"/>
    <xf numFmtId="0" fontId="35" fillId="0" borderId="1" xfId="8" applyFont="1" applyBorder="1" applyAlignment="1">
      <alignment wrapText="1"/>
    </xf>
    <xf numFmtId="44" fontId="35" fillId="0" borderId="1" xfId="9" applyFont="1" applyBorder="1"/>
    <xf numFmtId="0" fontId="35" fillId="0" borderId="0" xfId="8" applyFont="1" applyAlignment="1">
      <alignment wrapText="1"/>
    </xf>
    <xf numFmtId="44" fontId="35" fillId="0" borderId="0" xfId="9" applyFont="1"/>
    <xf numFmtId="0" fontId="25" fillId="0" borderId="1" xfId="0" applyFont="1" applyFill="1" applyBorder="1"/>
    <xf numFmtId="0" fontId="22" fillId="0" borderId="0" xfId="8" applyFont="1"/>
    <xf numFmtId="0" fontId="36" fillId="0" borderId="0" xfId="8" applyFont="1"/>
    <xf numFmtId="0" fontId="36" fillId="0" borderId="2" xfId="8" applyFont="1" applyBorder="1"/>
    <xf numFmtId="0" fontId="22" fillId="0" borderId="0" xfId="8" applyFont="1" applyAlignment="1">
      <alignment wrapText="1"/>
    </xf>
    <xf numFmtId="0" fontId="22" fillId="0" borderId="1" xfId="8" applyFont="1" applyBorder="1"/>
    <xf numFmtId="0" fontId="36" fillId="0" borderId="1" xfId="8" applyFont="1" applyBorder="1"/>
    <xf numFmtId="0" fontId="22" fillId="0" borderId="1" xfId="8" applyFont="1" applyBorder="1" applyAlignment="1">
      <alignment wrapText="1"/>
    </xf>
    <xf numFmtId="0" fontId="36" fillId="2" borderId="0" xfId="8" applyFont="1" applyFill="1"/>
    <xf numFmtId="0" fontId="22" fillId="2" borderId="0" xfId="8" applyFont="1" applyFill="1" applyAlignment="1">
      <alignment wrapText="1"/>
    </xf>
    <xf numFmtId="0" fontId="22" fillId="2" borderId="0" xfId="8" applyFont="1" applyFill="1"/>
    <xf numFmtId="0" fontId="36" fillId="0" borderId="0" xfId="8" applyFont="1" applyAlignment="1">
      <alignment wrapText="1"/>
    </xf>
    <xf numFmtId="44" fontId="36" fillId="0" borderId="1" xfId="6" applyFont="1" applyBorder="1"/>
    <xf numFmtId="0" fontId="36" fillId="0" borderId="1" xfId="8" applyFont="1" applyBorder="1" applyAlignment="1">
      <alignment horizontal="center" wrapText="1"/>
    </xf>
    <xf numFmtId="0" fontId="22" fillId="0" borderId="0" xfId="8" applyFont="1" applyBorder="1"/>
    <xf numFmtId="0" fontId="22" fillId="0" borderId="0" xfId="8" applyFont="1" applyBorder="1" applyAlignment="1">
      <alignment wrapText="1"/>
    </xf>
    <xf numFmtId="0" fontId="41" fillId="3" borderId="1" xfId="0" applyFont="1" applyFill="1" applyBorder="1"/>
    <xf numFmtId="0" fontId="42" fillId="3" borderId="1" xfId="0" applyFont="1" applyFill="1" applyBorder="1"/>
    <xf numFmtId="0" fontId="42" fillId="3" borderId="1" xfId="0" applyFont="1" applyFill="1" applyBorder="1" applyAlignment="1">
      <alignment wrapText="1"/>
    </xf>
    <xf numFmtId="0" fontId="42" fillId="3" borderId="5" xfId="0" applyFont="1" applyFill="1" applyBorder="1" applyAlignment="1">
      <alignment wrapText="1"/>
    </xf>
    <xf numFmtId="0" fontId="24" fillId="3" borderId="1" xfId="0" applyFont="1" applyFill="1" applyBorder="1" applyAlignment="1">
      <alignment wrapText="1"/>
    </xf>
    <xf numFmtId="0" fontId="24" fillId="3" borderId="5" xfId="0" applyFont="1" applyFill="1" applyBorder="1" applyAlignment="1">
      <alignment wrapText="1"/>
    </xf>
    <xf numFmtId="0" fontId="24" fillId="0" borderId="0" xfId="0" applyFont="1"/>
    <xf numFmtId="0" fontId="39" fillId="0" borderId="0" xfId="0" applyFont="1"/>
    <xf numFmtId="0" fontId="24" fillId="0" borderId="0" xfId="0" applyFont="1" applyAlignment="1">
      <alignment horizontal="center" wrapText="1"/>
    </xf>
    <xf numFmtId="0" fontId="24" fillId="0" borderId="1" xfId="0" applyFont="1" applyBorder="1"/>
    <xf numFmtId="0" fontId="39" fillId="0" borderId="1" xfId="0" applyFont="1" applyBorder="1" applyAlignment="1">
      <alignment horizontal="center" wrapText="1"/>
    </xf>
    <xf numFmtId="0" fontId="42" fillId="0" borderId="0" xfId="0" applyFont="1"/>
    <xf numFmtId="0" fontId="42" fillId="3" borderId="0" xfId="0" applyFont="1" applyFill="1"/>
    <xf numFmtId="0" fontId="41" fillId="3" borderId="0" xfId="0" applyFont="1" applyFill="1"/>
    <xf numFmtId="0" fontId="36" fillId="3" borderId="1" xfId="0" applyFont="1" applyFill="1" applyBorder="1" applyAlignment="1">
      <alignment horizontal="center" wrapText="1"/>
    </xf>
    <xf numFmtId="0" fontId="36" fillId="3" borderId="1" xfId="0" applyFont="1" applyFill="1" applyBorder="1" applyAlignment="1">
      <alignment horizontal="center"/>
    </xf>
    <xf numFmtId="0" fontId="36" fillId="3" borderId="0" xfId="0" applyFont="1" applyFill="1"/>
    <xf numFmtId="0" fontId="22" fillId="3" borderId="1" xfId="0" applyFont="1" applyFill="1" applyBorder="1"/>
    <xf numFmtId="0" fontId="22" fillId="3" borderId="1" xfId="0" applyFont="1" applyFill="1" applyBorder="1" applyAlignment="1">
      <alignment wrapText="1"/>
    </xf>
    <xf numFmtId="0" fontId="42" fillId="0" borderId="0" xfId="0" applyFont="1" applyBorder="1"/>
    <xf numFmtId="0" fontId="41" fillId="0" borderId="0" xfId="0" applyFont="1"/>
    <xf numFmtId="0" fontId="41" fillId="3" borderId="27" xfId="0" applyFont="1" applyFill="1" applyBorder="1" applyAlignment="1">
      <alignment horizontal="center"/>
    </xf>
    <xf numFmtId="0" fontId="42" fillId="3" borderId="25" xfId="0" applyFont="1" applyFill="1" applyBorder="1"/>
    <xf numFmtId="0" fontId="41" fillId="11" borderId="28" xfId="0" applyFont="1" applyFill="1" applyBorder="1" applyAlignment="1">
      <alignment wrapText="1"/>
    </xf>
    <xf numFmtId="0" fontId="42" fillId="3" borderId="1" xfId="0" applyFont="1" applyFill="1" applyBorder="1" applyAlignment="1">
      <alignment horizontal="center"/>
    </xf>
    <xf numFmtId="0" fontId="42" fillId="7" borderId="1" xfId="0" applyFont="1" applyFill="1" applyBorder="1"/>
    <xf numFmtId="165" fontId="42" fillId="0" borderId="1" xfId="6" applyNumberFormat="1" applyFont="1" applyBorder="1"/>
    <xf numFmtId="165" fontId="42" fillId="0" borderId="1" xfId="6" applyNumberFormat="1" applyFont="1" applyBorder="1" applyAlignment="1">
      <alignment horizontal="center"/>
    </xf>
    <xf numFmtId="165" fontId="42" fillId="8" borderId="1" xfId="6" applyNumberFormat="1" applyFont="1" applyFill="1" applyBorder="1" applyAlignment="1">
      <alignment horizontal="center"/>
    </xf>
    <xf numFmtId="0" fontId="42" fillId="8" borderId="1" xfId="4" applyNumberFormat="1" applyFont="1" applyFill="1" applyBorder="1" applyAlignment="1">
      <alignment horizontal="center"/>
    </xf>
    <xf numFmtId="165" fontId="42" fillId="0" borderId="5" xfId="6" applyNumberFormat="1" applyFont="1" applyBorder="1" applyAlignment="1">
      <alignment horizontal="center"/>
    </xf>
    <xf numFmtId="0" fontId="42" fillId="9" borderId="7" xfId="0" applyFont="1" applyFill="1" applyBorder="1" applyAlignment="1">
      <alignment horizontal="center"/>
    </xf>
    <xf numFmtId="0" fontId="41" fillId="9" borderId="7" xfId="0" applyFont="1" applyFill="1" applyBorder="1"/>
    <xf numFmtId="0" fontId="42" fillId="7" borderId="7" xfId="0" applyFont="1" applyFill="1" applyBorder="1"/>
    <xf numFmtId="165" fontId="42" fillId="9" borderId="7" xfId="6" applyNumberFormat="1" applyFont="1" applyFill="1" applyBorder="1"/>
    <xf numFmtId="165" fontId="42" fillId="9" borderId="7" xfId="6" applyNumberFormat="1" applyFont="1" applyFill="1" applyBorder="1" applyAlignment="1">
      <alignment horizontal="center"/>
    </xf>
    <xf numFmtId="0" fontId="42" fillId="9" borderId="7" xfId="4" applyNumberFormat="1" applyFont="1" applyFill="1" applyBorder="1" applyAlignment="1">
      <alignment horizontal="center"/>
    </xf>
    <xf numFmtId="0" fontId="42" fillId="9" borderId="7" xfId="0" applyFont="1" applyFill="1" applyBorder="1" applyAlignment="1">
      <alignment wrapText="1"/>
    </xf>
    <xf numFmtId="0" fontId="41" fillId="9" borderId="1" xfId="0" applyFont="1" applyFill="1" applyBorder="1"/>
    <xf numFmtId="0" fontId="41" fillId="7" borderId="1" xfId="0" applyFont="1" applyFill="1" applyBorder="1"/>
    <xf numFmtId="165" fontId="42" fillId="9" borderId="1" xfId="6" applyNumberFormat="1" applyFont="1" applyFill="1" applyBorder="1" applyAlignment="1">
      <alignment horizontal="center"/>
    </xf>
    <xf numFmtId="0" fontId="42" fillId="9" borderId="1" xfId="4" applyNumberFormat="1" applyFont="1" applyFill="1" applyBorder="1" applyAlignment="1">
      <alignment horizontal="center"/>
    </xf>
    <xf numFmtId="0" fontId="42" fillId="9" borderId="1" xfId="0" applyFont="1" applyFill="1" applyBorder="1" applyAlignment="1">
      <alignment wrapText="1"/>
    </xf>
    <xf numFmtId="0" fontId="42" fillId="4" borderId="0" xfId="0" applyFont="1" applyFill="1"/>
    <xf numFmtId="0" fontId="42" fillId="4" borderId="9" xfId="0" applyFont="1" applyFill="1" applyBorder="1"/>
    <xf numFmtId="0" fontId="42" fillId="7" borderId="9" xfId="0" applyFont="1" applyFill="1" applyBorder="1"/>
    <xf numFmtId="0" fontId="42" fillId="4" borderId="9" xfId="0" applyFont="1" applyFill="1" applyBorder="1" applyAlignment="1">
      <alignment horizontal="center"/>
    </xf>
    <xf numFmtId="0" fontId="42" fillId="4" borderId="16" xfId="0" applyFont="1" applyFill="1" applyBorder="1" applyAlignment="1">
      <alignment wrapText="1"/>
    </xf>
    <xf numFmtId="0" fontId="42" fillId="3" borderId="8" xfId="0" applyFont="1" applyFill="1" applyBorder="1" applyAlignment="1">
      <alignment horizontal="center"/>
    </xf>
    <xf numFmtId="0" fontId="42" fillId="3" borderId="8" xfId="0" applyFont="1" applyFill="1" applyBorder="1"/>
    <xf numFmtId="0" fontId="42" fillId="7" borderId="8" xfId="0" applyFont="1" applyFill="1" applyBorder="1"/>
    <xf numFmtId="165" fontId="42" fillId="0" borderId="8" xfId="6" applyNumberFormat="1" applyFont="1" applyBorder="1"/>
    <xf numFmtId="165" fontId="42" fillId="8" borderId="8" xfId="6" applyNumberFormat="1" applyFont="1" applyFill="1" applyBorder="1" applyAlignment="1">
      <alignment horizontal="center"/>
    </xf>
    <xf numFmtId="0" fontId="42" fillId="8" borderId="8" xfId="4" applyNumberFormat="1" applyFont="1" applyFill="1" applyBorder="1" applyAlignment="1">
      <alignment horizontal="center"/>
    </xf>
    <xf numFmtId="0" fontId="42" fillId="0" borderId="8" xfId="0" applyFont="1" applyBorder="1" applyAlignment="1">
      <alignment wrapText="1"/>
    </xf>
    <xf numFmtId="0" fontId="42" fillId="0" borderId="9" xfId="0" applyFont="1" applyBorder="1"/>
    <xf numFmtId="0" fontId="41" fillId="7" borderId="7" xfId="0" applyFont="1" applyFill="1" applyBorder="1"/>
    <xf numFmtId="0" fontId="42" fillId="9" borderId="21" xfId="0" applyFont="1" applyFill="1" applyBorder="1"/>
    <xf numFmtId="0" fontId="42" fillId="0" borderId="19" xfId="0" applyFont="1" applyBorder="1"/>
    <xf numFmtId="0" fontId="41" fillId="9" borderId="20" xfId="0" applyFont="1" applyFill="1" applyBorder="1"/>
    <xf numFmtId="0" fontId="41" fillId="7" borderId="20" xfId="0" applyFont="1" applyFill="1" applyBorder="1"/>
    <xf numFmtId="165" fontId="42" fillId="9" borderId="20" xfId="6" applyNumberFormat="1" applyFont="1" applyFill="1" applyBorder="1" applyAlignment="1">
      <alignment horizontal="center"/>
    </xf>
    <xf numFmtId="0" fontId="42" fillId="9" borderId="20" xfId="4" applyNumberFormat="1" applyFont="1" applyFill="1" applyBorder="1" applyAlignment="1">
      <alignment horizontal="center"/>
    </xf>
    <xf numFmtId="0" fontId="42" fillId="9" borderId="20" xfId="0" applyFont="1" applyFill="1" applyBorder="1"/>
    <xf numFmtId="0" fontId="41" fillId="9" borderId="8" xfId="0" applyFont="1" applyFill="1" applyBorder="1"/>
    <xf numFmtId="0" fontId="41" fillId="7" borderId="8" xfId="0" applyFont="1" applyFill="1" applyBorder="1"/>
    <xf numFmtId="165" fontId="37" fillId="2" borderId="8" xfId="6" applyNumberFormat="1" applyFont="1" applyFill="1" applyBorder="1" applyAlignment="1">
      <alignment horizontal="center"/>
    </xf>
    <xf numFmtId="165" fontId="42" fillId="9" borderId="8" xfId="6" applyNumberFormat="1" applyFont="1" applyFill="1" applyBorder="1" applyAlignment="1">
      <alignment horizontal="center"/>
    </xf>
    <xf numFmtId="165" fontId="42" fillId="2" borderId="8" xfId="6" applyNumberFormat="1" applyFont="1" applyFill="1" applyBorder="1" applyAlignment="1">
      <alignment horizontal="center"/>
    </xf>
    <xf numFmtId="0" fontId="42" fillId="2" borderId="8" xfId="4" applyNumberFormat="1" applyFont="1" applyFill="1" applyBorder="1" applyAlignment="1">
      <alignment horizontal="center"/>
    </xf>
    <xf numFmtId="0" fontId="42" fillId="2" borderId="8" xfId="0" applyFont="1" applyFill="1" applyBorder="1"/>
    <xf numFmtId="165" fontId="37" fillId="2" borderId="1" xfId="6" applyNumberFormat="1" applyFont="1" applyFill="1" applyBorder="1" applyAlignment="1">
      <alignment horizontal="center"/>
    </xf>
    <xf numFmtId="165" fontId="42" fillId="2" borderId="1" xfId="6" applyNumberFormat="1" applyFont="1" applyFill="1" applyBorder="1" applyAlignment="1">
      <alignment horizontal="center"/>
    </xf>
    <xf numFmtId="0" fontId="42" fillId="2" borderId="1" xfId="4" applyNumberFormat="1" applyFont="1" applyFill="1" applyBorder="1" applyAlignment="1">
      <alignment horizontal="center"/>
    </xf>
    <xf numFmtId="0" fontId="42" fillId="2" borderId="1" xfId="0" applyFont="1" applyFill="1" applyBorder="1"/>
    <xf numFmtId="5" fontId="42" fillId="9" borderId="1" xfId="6" applyNumberFormat="1" applyFont="1" applyFill="1" applyBorder="1" applyAlignment="1">
      <alignment horizontal="center"/>
    </xf>
    <xf numFmtId="0" fontId="42" fillId="0" borderId="8" xfId="0" applyFont="1" applyBorder="1"/>
    <xf numFmtId="0" fontId="42" fillId="9" borderId="1" xfId="0" applyFont="1" applyFill="1" applyBorder="1"/>
    <xf numFmtId="0" fontId="24" fillId="3" borderId="1" xfId="0" applyFont="1" applyFill="1" applyBorder="1"/>
    <xf numFmtId="0" fontId="22" fillId="3" borderId="8" xfId="0" applyFont="1" applyFill="1" applyBorder="1"/>
    <xf numFmtId="0" fontId="41" fillId="3" borderId="0" xfId="0" applyFont="1" applyFill="1" applyAlignment="1">
      <alignment horizontal="center" wrapText="1"/>
    </xf>
    <xf numFmtId="44" fontId="42" fillId="3" borderId="8" xfId="6" applyFont="1" applyFill="1" applyBorder="1"/>
    <xf numFmtId="165" fontId="42" fillId="3" borderId="8" xfId="6" applyNumberFormat="1" applyFont="1" applyFill="1" applyBorder="1" applyAlignment="1">
      <alignment horizontal="center"/>
    </xf>
    <xf numFmtId="0" fontId="42" fillId="3" borderId="8" xfId="4" applyNumberFormat="1" applyFont="1" applyFill="1" applyBorder="1" applyAlignment="1">
      <alignment horizontal="center"/>
    </xf>
    <xf numFmtId="0" fontId="41" fillId="3" borderId="24" xfId="0" applyFont="1" applyFill="1" applyBorder="1" applyAlignment="1">
      <alignment horizontal="center"/>
    </xf>
    <xf numFmtId="0" fontId="41" fillId="3" borderId="26"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2" fillId="0" borderId="2" xfId="0" applyFont="1" applyBorder="1"/>
    <xf numFmtId="0" fontId="41" fillId="3" borderId="23" xfId="0" applyFont="1" applyFill="1" applyBorder="1"/>
    <xf numFmtId="0" fontId="41" fillId="3" borderId="22" xfId="0" applyFont="1" applyFill="1" applyBorder="1" applyAlignment="1">
      <alignment horizontal="center" wrapText="1"/>
    </xf>
    <xf numFmtId="0" fontId="36" fillId="3" borderId="5" xfId="0" applyFont="1" applyFill="1" applyBorder="1"/>
    <xf numFmtId="0" fontId="36" fillId="3" borderId="15" xfId="0" applyFont="1" applyFill="1" applyBorder="1" applyAlignment="1">
      <alignment horizontal="center"/>
    </xf>
    <xf numFmtId="0" fontId="36" fillId="3" borderId="6" xfId="0" applyFont="1" applyFill="1" applyBorder="1"/>
    <xf numFmtId="0" fontId="22" fillId="3" borderId="8" xfId="0" applyFont="1" applyFill="1" applyBorder="1" applyAlignment="1">
      <alignment wrapText="1"/>
    </xf>
    <xf numFmtId="0" fontId="22" fillId="3" borderId="13" xfId="0" applyFont="1" applyFill="1" applyBorder="1"/>
    <xf numFmtId="0" fontId="22" fillId="3" borderId="6" xfId="0" applyFont="1" applyFill="1" applyBorder="1"/>
    <xf numFmtId="44" fontId="36" fillId="0" borderId="4" xfId="6" applyFont="1" applyBorder="1"/>
    <xf numFmtId="0" fontId="46" fillId="0" borderId="0" xfId="8" applyFont="1" applyAlignment="1">
      <alignment wrapText="1"/>
    </xf>
    <xf numFmtId="0" fontId="39" fillId="3" borderId="1" xfId="0" applyFont="1" applyFill="1" applyBorder="1" applyAlignment="1">
      <alignment horizontal="center" wrapText="1"/>
    </xf>
    <xf numFmtId="0" fontId="39" fillId="3" borderId="0" xfId="0" applyFont="1" applyFill="1" applyAlignment="1">
      <alignment horizontal="center"/>
    </xf>
    <xf numFmtId="0" fontId="39" fillId="3" borderId="1" xfId="0" applyFont="1" applyFill="1" applyBorder="1" applyAlignment="1">
      <alignment horizontal="center"/>
    </xf>
    <xf numFmtId="0" fontId="24" fillId="0" borderId="24" xfId="0" applyFont="1" applyBorder="1" applyAlignment="1">
      <alignment horizontal="left" vertical="top"/>
    </xf>
    <xf numFmtId="0" fontId="24" fillId="0" borderId="25" xfId="0" applyFont="1" applyBorder="1" applyAlignment="1">
      <alignment horizontal="left" vertical="top"/>
    </xf>
    <xf numFmtId="0" fontId="22" fillId="0" borderId="1" xfId="8" applyFont="1" applyBorder="1" applyAlignment="1">
      <alignment horizontal="center"/>
    </xf>
    <xf numFmtId="0" fontId="41" fillId="3" borderId="26" xfId="0" applyFont="1" applyFill="1" applyBorder="1" applyAlignment="1">
      <alignment horizontal="center"/>
    </xf>
    <xf numFmtId="0" fontId="5" fillId="3" borderId="8" xfId="0" applyFont="1" applyFill="1" applyBorder="1" applyAlignment="1">
      <alignment horizontal="center"/>
    </xf>
    <xf numFmtId="0" fontId="5" fillId="3" borderId="8" xfId="0" applyFont="1" applyFill="1" applyBorder="1"/>
    <xf numFmtId="38" fontId="5" fillId="0" borderId="8" xfId="0" applyNumberFormat="1" applyFont="1" applyFill="1" applyBorder="1"/>
    <xf numFmtId="38" fontId="5" fillId="0" borderId="8" xfId="0" applyNumberFormat="1" applyFont="1" applyBorder="1"/>
    <xf numFmtId="3" fontId="5" fillId="0" borderId="8" xfId="0" applyNumberFormat="1" applyFont="1" applyBorder="1" applyAlignment="1">
      <alignment horizontal="center"/>
    </xf>
    <xf numFmtId="0" fontId="48" fillId="0" borderId="12" xfId="0" applyFont="1" applyFill="1" applyBorder="1" applyAlignment="1">
      <alignment horizontal="center"/>
    </xf>
    <xf numFmtId="0" fontId="18" fillId="0" borderId="30" xfId="0" applyFont="1" applyFill="1" applyBorder="1" applyAlignment="1">
      <alignment horizontal="center" wrapText="1"/>
    </xf>
    <xf numFmtId="0" fontId="48" fillId="0" borderId="14" xfId="0" applyFont="1" applyFill="1" applyBorder="1" applyAlignment="1">
      <alignment horizontal="center"/>
    </xf>
    <xf numFmtId="0" fontId="18" fillId="0" borderId="31" xfId="0" applyFont="1" applyFill="1" applyBorder="1" applyAlignment="1">
      <alignment horizontal="center"/>
    </xf>
    <xf numFmtId="0" fontId="18" fillId="0" borderId="31" xfId="0" applyFont="1" applyFill="1" applyBorder="1" applyAlignment="1">
      <alignment horizontal="center" wrapText="1"/>
    </xf>
    <xf numFmtId="0" fontId="36" fillId="0" borderId="0" xfId="0" applyFont="1"/>
    <xf numFmtId="0" fontId="23" fillId="0" borderId="0" xfId="0" applyFont="1" applyFill="1"/>
    <xf numFmtId="0" fontId="28" fillId="0" borderId="0" xfId="0" applyFont="1"/>
    <xf numFmtId="0" fontId="28" fillId="6" borderId="0" xfId="0" applyFont="1" applyFill="1"/>
    <xf numFmtId="0" fontId="23" fillId="0" borderId="0" xfId="0" applyFont="1"/>
    <xf numFmtId="0" fontId="28" fillId="0" borderId="32" xfId="0" applyFont="1" applyBorder="1"/>
    <xf numFmtId="0" fontId="28" fillId="0" borderId="23" xfId="0" applyFont="1" applyBorder="1"/>
    <xf numFmtId="0" fontId="28" fillId="0" borderId="16" xfId="0" applyFont="1" applyBorder="1"/>
    <xf numFmtId="0" fontId="28" fillId="0" borderId="33" xfId="0" applyFont="1" applyBorder="1"/>
    <xf numFmtId="0" fontId="28" fillId="0" borderId="0" xfId="0" applyFont="1" applyBorder="1"/>
    <xf numFmtId="0" fontId="28" fillId="0" borderId="34" xfId="0" applyFont="1" applyBorder="1"/>
    <xf numFmtId="0" fontId="28" fillId="0" borderId="18" xfId="0" applyFont="1" applyBorder="1"/>
    <xf numFmtId="0" fontId="28" fillId="0" borderId="2" xfId="0" applyFont="1" applyBorder="1"/>
    <xf numFmtId="0" fontId="28" fillId="0" borderId="13" xfId="0" applyFont="1" applyBorder="1"/>
    <xf numFmtId="0" fontId="23" fillId="0" borderId="2" xfId="0" applyFont="1" applyFill="1" applyBorder="1"/>
    <xf numFmtId="0" fontId="31" fillId="3" borderId="0" xfId="7" applyFont="1" applyFill="1" applyAlignment="1">
      <alignment horizontal="left" wrapText="1"/>
    </xf>
    <xf numFmtId="0" fontId="28" fillId="0" borderId="0" xfId="0" applyFont="1" applyFill="1"/>
    <xf numFmtId="0" fontId="3" fillId="0" borderId="0" xfId="0" applyFont="1" applyBorder="1" applyAlignment="1">
      <alignment vertical="center"/>
    </xf>
    <xf numFmtId="0" fontId="0" fillId="0" borderId="0" xfId="0" applyBorder="1"/>
    <xf numFmtId="0" fontId="0" fillId="0" borderId="0" xfId="0" applyBorder="1" applyAlignment="1">
      <alignment vertical="center"/>
    </xf>
    <xf numFmtId="0" fontId="27" fillId="0" borderId="0" xfId="0" applyFont="1" applyBorder="1"/>
    <xf numFmtId="0" fontId="19" fillId="0" borderId="0" xfId="0" applyFont="1" applyBorder="1"/>
    <xf numFmtId="0" fontId="0" fillId="6" borderId="0" xfId="0" applyFill="1" applyBorder="1" applyAlignment="1">
      <alignment vertical="center"/>
    </xf>
    <xf numFmtId="0" fontId="0" fillId="6" borderId="0" xfId="0" applyFill="1" applyBorder="1"/>
    <xf numFmtId="0" fontId="41" fillId="10" borderId="18" xfId="0" applyFont="1" applyFill="1" applyBorder="1" applyAlignment="1">
      <alignment horizontal="left"/>
    </xf>
    <xf numFmtId="0" fontId="41" fillId="10" borderId="2" xfId="0" applyFont="1" applyFill="1" applyBorder="1" applyAlignment="1">
      <alignment horizontal="left"/>
    </xf>
    <xf numFmtId="0" fontId="41" fillId="10" borderId="13" xfId="0" applyFont="1" applyFill="1" applyBorder="1" applyAlignment="1">
      <alignment horizontal="left"/>
    </xf>
    <xf numFmtId="0" fontId="41" fillId="3" borderId="24" xfId="0" applyFont="1" applyFill="1" applyBorder="1" applyAlignment="1">
      <alignment horizontal="center" wrapText="1"/>
    </xf>
    <xf numFmtId="0" fontId="41" fillId="3" borderId="25" xfId="0" applyFont="1" applyFill="1" applyBorder="1" applyAlignment="1">
      <alignment horizontal="center" wrapText="1"/>
    </xf>
    <xf numFmtId="0" fontId="41" fillId="3" borderId="26" xfId="0" applyFont="1" applyFill="1" applyBorder="1" applyAlignment="1">
      <alignment horizontal="center" wrapText="1"/>
    </xf>
    <xf numFmtId="0" fontId="41" fillId="0" borderId="2" xfId="0" applyFont="1" applyBorder="1"/>
    <xf numFmtId="0" fontId="52" fillId="0" borderId="2" xfId="0" applyFont="1" applyBorder="1"/>
    <xf numFmtId="0" fontId="52" fillId="0" borderId="0" xfId="0" applyFont="1"/>
    <xf numFmtId="0" fontId="41" fillId="3" borderId="24" xfId="0" applyFont="1" applyFill="1" applyBorder="1" applyAlignment="1">
      <alignment horizontal="center" wrapText="1"/>
    </xf>
    <xf numFmtId="0" fontId="41" fillId="3" borderId="25" xfId="0" applyFont="1" applyFill="1" applyBorder="1" applyAlignment="1">
      <alignment horizontal="center" wrapText="1"/>
    </xf>
    <xf numFmtId="0" fontId="41" fillId="3" borderId="26" xfId="0" applyFont="1" applyFill="1" applyBorder="1" applyAlignment="1">
      <alignment horizontal="center" wrapText="1"/>
    </xf>
    <xf numFmtId="0" fontId="53" fillId="0" borderId="2" xfId="0" applyFont="1" applyBorder="1"/>
    <xf numFmtId="0" fontId="41" fillId="0" borderId="15" xfId="0" applyFont="1" applyBorder="1"/>
    <xf numFmtId="0" fontId="53" fillId="0" borderId="15" xfId="0" applyFont="1" applyBorder="1"/>
    <xf numFmtId="0" fontId="42" fillId="12" borderId="7" xfId="0" applyFont="1" applyFill="1" applyBorder="1" applyAlignment="1">
      <alignment horizontal="center"/>
    </xf>
    <xf numFmtId="0" fontId="41" fillId="12" borderId="7" xfId="0" applyFont="1" applyFill="1" applyBorder="1"/>
    <xf numFmtId="0" fontId="42" fillId="12" borderId="7" xfId="0" applyFont="1" applyFill="1" applyBorder="1"/>
    <xf numFmtId="165" fontId="42" fillId="12" borderId="7" xfId="6" applyNumberFormat="1" applyFont="1" applyFill="1" applyBorder="1"/>
    <xf numFmtId="0" fontId="42" fillId="5" borderId="7" xfId="0" applyFont="1" applyFill="1" applyBorder="1" applyAlignment="1">
      <alignment horizontal="center"/>
    </xf>
    <xf numFmtId="0" fontId="41" fillId="5" borderId="20" xfId="0" applyFont="1" applyFill="1" applyBorder="1"/>
    <xf numFmtId="165" fontId="42" fillId="5" borderId="20" xfId="6" applyNumberFormat="1" applyFont="1" applyFill="1" applyBorder="1" applyAlignment="1">
      <alignment horizontal="center"/>
    </xf>
    <xf numFmtId="0" fontId="42" fillId="5" borderId="20" xfId="0" applyFont="1" applyFill="1" applyBorder="1"/>
    <xf numFmtId="165" fontId="42" fillId="0" borderId="0" xfId="0" applyNumberFormat="1" applyFont="1"/>
    <xf numFmtId="0" fontId="42" fillId="12" borderId="7" xfId="0" applyFont="1" applyFill="1" applyBorder="1" applyAlignment="1">
      <alignment wrapText="1"/>
    </xf>
    <xf numFmtId="0" fontId="42" fillId="13" borderId="7" xfId="0" applyFont="1" applyFill="1" applyBorder="1" applyAlignment="1">
      <alignment horizontal="center"/>
    </xf>
    <xf numFmtId="0" fontId="41" fillId="13" borderId="20" xfId="0" applyFont="1" applyFill="1" applyBorder="1"/>
    <xf numFmtId="165" fontId="42" fillId="13" borderId="20" xfId="6" applyNumberFormat="1" applyFont="1" applyFill="1" applyBorder="1" applyAlignment="1">
      <alignment horizontal="center"/>
    </xf>
    <xf numFmtId="0" fontId="42" fillId="13" borderId="20" xfId="0" applyFont="1" applyFill="1" applyBorder="1"/>
    <xf numFmtId="165" fontId="42" fillId="2" borderId="1" xfId="6" applyNumberFormat="1" applyFont="1" applyFill="1" applyBorder="1"/>
    <xf numFmtId="165" fontId="42" fillId="2" borderId="8" xfId="6" applyNumberFormat="1" applyFont="1" applyFill="1" applyBorder="1"/>
    <xf numFmtId="0" fontId="54" fillId="3" borderId="23" xfId="0" applyFont="1" applyFill="1" applyBorder="1" applyAlignment="1">
      <alignment horizontal="right"/>
    </xf>
    <xf numFmtId="0" fontId="41" fillId="3" borderId="24" xfId="0" applyFont="1" applyFill="1" applyBorder="1" applyAlignment="1">
      <alignment horizontal="center" wrapText="1"/>
    </xf>
    <xf numFmtId="165" fontId="42" fillId="0" borderId="8" xfId="6" applyNumberFormat="1" applyFont="1" applyFill="1" applyBorder="1"/>
    <xf numFmtId="0" fontId="37" fillId="0" borderId="1" xfId="0" applyFont="1" applyFill="1" applyBorder="1" applyAlignment="1">
      <alignment horizontal="center"/>
    </xf>
    <xf numFmtId="0" fontId="42" fillId="0" borderId="1" xfId="0" applyFont="1" applyFill="1" applyBorder="1" applyAlignment="1">
      <alignment horizontal="center"/>
    </xf>
    <xf numFmtId="165" fontId="5" fillId="9" borderId="1" xfId="6" applyNumberFormat="1" applyFont="1" applyFill="1" applyBorder="1" applyAlignment="1">
      <alignment horizontal="center"/>
    </xf>
    <xf numFmtId="0" fontId="52" fillId="0" borderId="0" xfId="0" applyFont="1" applyFill="1"/>
    <xf numFmtId="0" fontId="42" fillId="0" borderId="0" xfId="0" applyFont="1" applyFill="1"/>
    <xf numFmtId="0" fontId="42" fillId="14" borderId="7" xfId="0" applyFont="1" applyFill="1" applyBorder="1" applyAlignment="1">
      <alignment horizontal="center"/>
    </xf>
    <xf numFmtId="0" fontId="41" fillId="14" borderId="1" xfId="0" applyFont="1" applyFill="1" applyBorder="1"/>
    <xf numFmtId="165" fontId="42" fillId="14" borderId="1" xfId="6" applyNumberFormat="1" applyFont="1" applyFill="1" applyBorder="1" applyAlignment="1">
      <alignment horizontal="center"/>
    </xf>
    <xf numFmtId="0" fontId="42" fillId="14" borderId="1" xfId="0" applyFont="1" applyFill="1" applyBorder="1" applyAlignment="1">
      <alignment wrapText="1"/>
    </xf>
    <xf numFmtId="0" fontId="42" fillId="0" borderId="0" xfId="0" applyFont="1" applyFill="1" applyBorder="1" applyAlignment="1">
      <alignment horizontal="center"/>
    </xf>
    <xf numFmtId="0" fontId="41" fillId="0" borderId="0" xfId="0" applyFont="1" applyFill="1" applyBorder="1"/>
    <xf numFmtId="165" fontId="42" fillId="0" borderId="0" xfId="6" applyNumberFormat="1" applyFont="1" applyFill="1" applyBorder="1" applyAlignment="1">
      <alignment horizontal="center"/>
    </xf>
    <xf numFmtId="0" fontId="42" fillId="0" borderId="0" xfId="0" applyFont="1" applyFill="1" applyBorder="1"/>
    <xf numFmtId="165" fontId="42" fillId="0" borderId="0" xfId="0" applyNumberFormat="1" applyFont="1" applyFill="1"/>
    <xf numFmtId="0" fontId="6" fillId="14" borderId="4" xfId="0" applyFont="1" applyFill="1" applyBorder="1" applyAlignment="1">
      <alignment horizontal="center"/>
    </xf>
    <xf numFmtId="165" fontId="4" fillId="14" borderId="4" xfId="0" applyNumberFormat="1" applyFont="1" applyFill="1" applyBorder="1"/>
    <xf numFmtId="165" fontId="42" fillId="0" borderId="1" xfId="6" applyNumberFormat="1" applyFont="1" applyFill="1" applyBorder="1"/>
    <xf numFmtId="165" fontId="42" fillId="0" borderId="1" xfId="6" applyNumberFormat="1" applyFont="1" applyFill="1" applyBorder="1" applyAlignment="1">
      <alignment horizontal="center"/>
    </xf>
    <xf numFmtId="0" fontId="42" fillId="0" borderId="8" xfId="0" applyFont="1" applyFill="1" applyBorder="1"/>
    <xf numFmtId="0" fontId="25" fillId="0" borderId="1" xfId="0" applyFont="1" applyBorder="1" applyAlignment="1"/>
    <xf numFmtId="0" fontId="25" fillId="0" borderId="1" xfId="0" applyFont="1" applyBorder="1" applyAlignment="1">
      <alignment horizontal="left" wrapText="1"/>
    </xf>
    <xf numFmtId="0" fontId="42" fillId="0" borderId="1" xfId="0" applyFont="1" applyFill="1" applyBorder="1" applyAlignment="1">
      <alignment wrapText="1"/>
    </xf>
    <xf numFmtId="0" fontId="42" fillId="0" borderId="8" xfId="0" applyFont="1" applyFill="1" applyBorder="1" applyAlignment="1">
      <alignment wrapText="1"/>
    </xf>
    <xf numFmtId="0" fontId="24" fillId="0" borderId="1" xfId="0" applyFont="1" applyBorder="1" applyAlignment="1">
      <alignment wrapText="1"/>
    </xf>
    <xf numFmtId="166" fontId="24" fillId="0" borderId="1" xfId="0" applyNumberFormat="1" applyFont="1" applyBorder="1"/>
    <xf numFmtId="166" fontId="24" fillId="0" borderId="17" xfId="0" applyNumberFormat="1" applyFont="1" applyBorder="1"/>
    <xf numFmtId="0" fontId="42" fillId="12" borderId="1" xfId="0" applyFont="1" applyFill="1" applyBorder="1" applyAlignment="1">
      <alignment wrapText="1"/>
    </xf>
    <xf numFmtId="0" fontId="42" fillId="9" borderId="8" xfId="0" applyFont="1" applyFill="1" applyBorder="1" applyAlignment="1">
      <alignment wrapText="1"/>
    </xf>
    <xf numFmtId="0" fontId="26" fillId="0" borderId="1" xfId="0" applyFont="1" applyBorder="1"/>
    <xf numFmtId="0" fontId="25" fillId="0" borderId="1" xfId="11" applyFont="1" applyBorder="1" applyAlignment="1">
      <alignment horizontal="left" wrapText="1"/>
    </xf>
    <xf numFmtId="0" fontId="42" fillId="13" borderId="20" xfId="0" applyFont="1" applyFill="1" applyBorder="1" applyAlignment="1">
      <alignment wrapText="1"/>
    </xf>
    <xf numFmtId="0" fontId="28" fillId="0" borderId="32" xfId="0" applyFont="1" applyBorder="1" applyAlignment="1">
      <alignment wrapText="1"/>
    </xf>
    <xf numFmtId="0" fontId="28" fillId="0" borderId="9" xfId="0" applyFont="1" applyBorder="1"/>
    <xf numFmtId="3" fontId="22" fillId="3" borderId="1" xfId="0" applyNumberFormat="1" applyFont="1" applyFill="1" applyBorder="1"/>
    <xf numFmtId="3" fontId="22" fillId="3" borderId="6" xfId="0" applyNumberFormat="1" applyFont="1" applyFill="1" applyBorder="1"/>
    <xf numFmtId="9" fontId="42" fillId="0" borderId="0" xfId="4" applyNumberFormat="1" applyFont="1"/>
    <xf numFmtId="9" fontId="41" fillId="3" borderId="26" xfId="4" applyNumberFormat="1" applyFont="1" applyFill="1" applyBorder="1" applyAlignment="1">
      <alignment horizontal="center" wrapText="1"/>
    </xf>
    <xf numFmtId="9" fontId="42" fillId="13" borderId="20" xfId="4" applyNumberFormat="1" applyFont="1" applyFill="1" applyBorder="1" applyAlignment="1">
      <alignment horizontal="center"/>
    </xf>
    <xf numFmtId="9" fontId="42" fillId="3" borderId="0" xfId="4" applyNumberFormat="1" applyFont="1" applyFill="1"/>
    <xf numFmtId="9" fontId="42" fillId="12" borderId="7" xfId="4" applyNumberFormat="1" applyFont="1" applyFill="1" applyBorder="1"/>
    <xf numFmtId="9" fontId="42" fillId="9" borderId="1" xfId="4" applyNumberFormat="1" applyFont="1" applyFill="1" applyBorder="1" applyAlignment="1">
      <alignment horizontal="center"/>
    </xf>
    <xf numFmtId="9" fontId="42" fillId="9" borderId="7" xfId="4" applyNumberFormat="1" applyFont="1" applyFill="1" applyBorder="1" applyAlignment="1">
      <alignment horizontal="center"/>
    </xf>
    <xf numFmtId="9" fontId="42" fillId="5" borderId="20" xfId="4" applyNumberFormat="1" applyFont="1" applyFill="1" applyBorder="1" applyAlignment="1">
      <alignment horizontal="center"/>
    </xf>
    <xf numFmtId="9" fontId="42" fillId="14" borderId="1" xfId="4" applyNumberFormat="1" applyFont="1" applyFill="1" applyBorder="1" applyAlignment="1">
      <alignment horizontal="center"/>
    </xf>
    <xf numFmtId="9" fontId="42" fillId="0" borderId="0" xfId="4" applyNumberFormat="1" applyFont="1" applyFill="1" applyBorder="1" applyAlignment="1">
      <alignment horizontal="center"/>
    </xf>
    <xf numFmtId="9" fontId="4" fillId="14" borderId="4" xfId="4" applyNumberFormat="1" applyFont="1" applyFill="1" applyBorder="1"/>
    <xf numFmtId="0" fontId="42" fillId="3" borderId="1" xfId="0" applyFont="1" applyFill="1" applyBorder="1" applyAlignment="1" applyProtection="1">
      <alignment wrapText="1"/>
      <protection locked="0"/>
    </xf>
    <xf numFmtId="44" fontId="35" fillId="0" borderId="1" xfId="9" applyFont="1" applyBorder="1" applyAlignment="1">
      <alignment wrapText="1"/>
    </xf>
    <xf numFmtId="41" fontId="42" fillId="0" borderId="0" xfId="0" applyNumberFormat="1" applyFont="1"/>
    <xf numFmtId="38" fontId="5" fillId="0" borderId="7" xfId="0" applyNumberFormat="1" applyFont="1" applyBorder="1"/>
    <xf numFmtId="38" fontId="6" fillId="0" borderId="8" xfId="0" applyNumberFormat="1" applyFont="1" applyBorder="1"/>
    <xf numFmtId="38" fontId="6" fillId="0" borderId="1" xfId="0" applyNumberFormat="1" applyFont="1" applyBorder="1"/>
    <xf numFmtId="38" fontId="6" fillId="0" borderId="7" xfId="0" applyNumberFormat="1" applyFont="1" applyBorder="1"/>
    <xf numFmtId="38" fontId="6" fillId="0" borderId="19" xfId="0" applyNumberFormat="1" applyFont="1" applyBorder="1"/>
    <xf numFmtId="38" fontId="5" fillId="0" borderId="20" xfId="0" applyNumberFormat="1" applyFont="1" applyBorder="1"/>
    <xf numFmtId="165" fontId="42" fillId="0" borderId="0" xfId="0" applyNumberFormat="1" applyFont="1" applyBorder="1"/>
    <xf numFmtId="41" fontId="42" fillId="0" borderId="0" xfId="0" applyNumberFormat="1" applyFont="1" applyBorder="1"/>
    <xf numFmtId="41" fontId="5" fillId="0" borderId="1" xfId="6" applyNumberFormat="1" applyFont="1" applyBorder="1"/>
    <xf numFmtId="41" fontId="5" fillId="0" borderId="8" xfId="6" applyNumberFormat="1" applyFont="1" applyBorder="1"/>
    <xf numFmtId="41" fontId="5" fillId="0" borderId="7" xfId="6" applyNumberFormat="1" applyFont="1" applyBorder="1"/>
    <xf numFmtId="41" fontId="6" fillId="0" borderId="8" xfId="6" applyNumberFormat="1" applyFont="1" applyBorder="1"/>
    <xf numFmtId="41" fontId="6" fillId="0" borderId="19" xfId="6" applyNumberFormat="1" applyFont="1" applyBorder="1"/>
    <xf numFmtId="41" fontId="5" fillId="0" borderId="9" xfId="6" applyNumberFormat="1" applyFont="1" applyBorder="1"/>
    <xf numFmtId="41" fontId="5" fillId="0" borderId="20" xfId="6" applyNumberFormat="1" applyFont="1" applyBorder="1"/>
    <xf numFmtId="9" fontId="42" fillId="0" borderId="0" xfId="4" applyFont="1" applyBorder="1"/>
    <xf numFmtId="0" fontId="42" fillId="0" borderId="0" xfId="0" applyFont="1" applyAlignment="1">
      <alignment wrapText="1"/>
    </xf>
    <xf numFmtId="0" fontId="6" fillId="14" borderId="0" xfId="0" applyFont="1" applyFill="1" applyBorder="1" applyAlignment="1">
      <alignment horizontal="center"/>
    </xf>
    <xf numFmtId="165" fontId="4" fillId="14" borderId="0" xfId="0" applyNumberFormat="1" applyFont="1" applyFill="1" applyBorder="1"/>
    <xf numFmtId="9" fontId="4" fillId="14" borderId="0" xfId="4" applyNumberFormat="1" applyFont="1" applyFill="1" applyBorder="1"/>
    <xf numFmtId="165" fontId="37" fillId="0" borderId="0" xfId="0" applyNumberFormat="1" applyFont="1"/>
    <xf numFmtId="0" fontId="42" fillId="0" borderId="35" xfId="0" applyFont="1" applyBorder="1"/>
    <xf numFmtId="165" fontId="56" fillId="14" borderId="4" xfId="0" applyNumberFormat="1" applyFont="1" applyFill="1" applyBorder="1"/>
    <xf numFmtId="0" fontId="55" fillId="0" borderId="7" xfId="0" applyFont="1" applyBorder="1" applyAlignment="1">
      <alignment wrapText="1"/>
    </xf>
    <xf numFmtId="0" fontId="0" fillId="0" borderId="0" xfId="0" applyFont="1" applyAlignment="1">
      <alignment horizontal="center" wrapText="1"/>
    </xf>
    <xf numFmtId="5" fontId="25" fillId="15" borderId="1" xfId="0" applyNumberFormat="1" applyFont="1" applyFill="1" applyBorder="1"/>
    <xf numFmtId="5" fontId="5" fillId="15" borderId="0" xfId="0" applyNumberFormat="1" applyFont="1" applyFill="1"/>
    <xf numFmtId="0" fontId="24" fillId="0" borderId="1" xfId="0" applyFont="1" applyFill="1" applyBorder="1" applyAlignment="1">
      <alignment wrapText="1"/>
    </xf>
    <xf numFmtId="5" fontId="42" fillId="15" borderId="0" xfId="0" applyNumberFormat="1" applyFont="1" applyFill="1"/>
    <xf numFmtId="5" fontId="22" fillId="15" borderId="0" xfId="0" applyNumberFormat="1" applyFont="1" applyFill="1"/>
    <xf numFmtId="5" fontId="25" fillId="0" borderId="1" xfId="0" applyNumberFormat="1" applyFont="1" applyFill="1" applyBorder="1"/>
    <xf numFmtId="0" fontId="36" fillId="0" borderId="0" xfId="8" applyFont="1" applyAlignment="1">
      <alignment horizontal="center"/>
    </xf>
    <xf numFmtId="0" fontId="45" fillId="3" borderId="0" xfId="0" applyFont="1" applyFill="1" applyAlignment="1">
      <alignment horizontal="left" wrapText="1"/>
    </xf>
    <xf numFmtId="0" fontId="36" fillId="3" borderId="10" xfId="0" applyFont="1" applyFill="1" applyBorder="1" applyAlignment="1">
      <alignment horizontal="center"/>
    </xf>
    <xf numFmtId="0" fontId="36" fillId="3" borderId="11" xfId="0" applyFont="1" applyFill="1" applyBorder="1" applyAlignment="1">
      <alignment horizontal="center"/>
    </xf>
    <xf numFmtId="0" fontId="36" fillId="3" borderId="12" xfId="0" applyFont="1" applyFill="1" applyBorder="1" applyAlignment="1">
      <alignment horizontal="center"/>
    </xf>
    <xf numFmtId="0" fontId="41" fillId="3" borderId="24" xfId="0" applyFont="1" applyFill="1" applyBorder="1" applyAlignment="1">
      <alignment horizontal="center" wrapText="1"/>
    </xf>
    <xf numFmtId="0" fontId="41" fillId="3" borderId="25" xfId="0" applyFont="1" applyFill="1" applyBorder="1" applyAlignment="1">
      <alignment horizontal="center" wrapText="1"/>
    </xf>
    <xf numFmtId="0" fontId="41" fillId="3" borderId="26" xfId="0" applyFont="1" applyFill="1" applyBorder="1" applyAlignment="1">
      <alignment horizontal="center" wrapText="1"/>
    </xf>
    <xf numFmtId="0" fontId="40" fillId="3" borderId="0" xfId="0" applyFont="1" applyFill="1" applyBorder="1" applyAlignment="1">
      <alignment horizontal="left"/>
    </xf>
    <xf numFmtId="0" fontId="18" fillId="0" borderId="10" xfId="0" applyFont="1" applyFill="1" applyBorder="1" applyAlignment="1">
      <alignment horizontal="center" wrapText="1"/>
    </xf>
    <xf numFmtId="0" fontId="18" fillId="0" borderId="29" xfId="0" applyFont="1" applyFill="1" applyBorder="1" applyAlignment="1">
      <alignment horizontal="center" wrapText="1"/>
    </xf>
    <xf numFmtId="0" fontId="18" fillId="0" borderId="14" xfId="0" applyFont="1" applyFill="1" applyBorder="1" applyAlignment="1">
      <alignment horizontal="center"/>
    </xf>
    <xf numFmtId="0" fontId="18" fillId="0" borderId="31" xfId="0" applyFont="1" applyFill="1" applyBorder="1" applyAlignment="1">
      <alignment horizontal="center"/>
    </xf>
    <xf numFmtId="0" fontId="29" fillId="0" borderId="0" xfId="0" applyFont="1" applyAlignment="1">
      <alignment horizontal="center"/>
    </xf>
    <xf numFmtId="0" fontId="28" fillId="0" borderId="0" xfId="0" applyFont="1" applyAlignment="1">
      <alignment horizontal="left" wrapText="1"/>
    </xf>
    <xf numFmtId="0" fontId="47" fillId="0" borderId="24" xfId="0" applyFont="1" applyBorder="1" applyAlignment="1">
      <alignment horizontal="center" wrapText="1"/>
    </xf>
    <xf numFmtId="0" fontId="47" fillId="0" borderId="25" xfId="0" applyFont="1" applyBorder="1" applyAlignment="1">
      <alignment horizontal="center" wrapText="1"/>
    </xf>
    <xf numFmtId="0" fontId="47" fillId="0" borderId="26" xfId="0" applyFont="1" applyBorder="1" applyAlignment="1">
      <alignment horizontal="center" wrapText="1"/>
    </xf>
    <xf numFmtId="0" fontId="47" fillId="0" borderId="24" xfId="0" applyFont="1" applyBorder="1" applyAlignment="1">
      <alignment horizontal="center"/>
    </xf>
    <xf numFmtId="0" fontId="47" fillId="0" borderId="25" xfId="0" applyFont="1" applyBorder="1" applyAlignment="1">
      <alignment horizontal="center"/>
    </xf>
    <xf numFmtId="0" fontId="47" fillId="0" borderId="26" xfId="0" applyFont="1" applyBorder="1" applyAlignment="1">
      <alignment horizontal="center"/>
    </xf>
    <xf numFmtId="0" fontId="44" fillId="0" borderId="25" xfId="0" applyFont="1" applyBorder="1" applyAlignment="1">
      <alignment horizontal="center"/>
    </xf>
    <xf numFmtId="0" fontId="34" fillId="0" borderId="0" xfId="0" applyFont="1" applyAlignment="1">
      <alignment horizontal="center"/>
    </xf>
    <xf numFmtId="0" fontId="43" fillId="0" borderId="1" xfId="0" applyFont="1" applyBorder="1" applyAlignment="1">
      <alignment horizontal="center"/>
    </xf>
    <xf numFmtId="0" fontId="0" fillId="3" borderId="2" xfId="0" applyFont="1" applyFill="1" applyBorder="1" applyAlignment="1">
      <alignment horizontal="left" wrapText="1"/>
    </xf>
    <xf numFmtId="0" fontId="23" fillId="3" borderId="0" xfId="0" applyFont="1" applyFill="1" applyAlignment="1">
      <alignment horizontal="center"/>
    </xf>
    <xf numFmtId="0" fontId="0" fillId="3" borderId="0" xfId="0" applyFont="1" applyFill="1" applyAlignment="1">
      <alignment wrapText="1"/>
    </xf>
    <xf numFmtId="0" fontId="0" fillId="3" borderId="0" xfId="0" applyFont="1" applyFill="1" applyAlignment="1">
      <alignment horizontal="left" wrapText="1"/>
    </xf>
    <xf numFmtId="0" fontId="31" fillId="3" borderId="0" xfId="7" applyFont="1" applyFill="1" applyAlignment="1">
      <alignment horizontal="left"/>
    </xf>
    <xf numFmtId="0" fontId="31" fillId="3" borderId="0" xfId="7" applyFont="1" applyFill="1" applyAlignment="1">
      <alignment horizontal="left" wrapText="1"/>
    </xf>
    <xf numFmtId="0" fontId="30" fillId="0" borderId="0" xfId="7" applyFont="1"/>
    <xf numFmtId="0" fontId="34" fillId="0" borderId="0" xfId="8" applyFont="1" applyAlignment="1">
      <alignment horizontal="center"/>
    </xf>
    <xf numFmtId="0" fontId="35" fillId="0" borderId="0" xfId="8" applyFont="1" applyAlignment="1">
      <alignment horizontal="left" wrapText="1"/>
    </xf>
  </cellXfs>
  <cellStyles count="12">
    <cellStyle name="Currency" xfId="6" builtinId="4"/>
    <cellStyle name="Currency 2" xfId="2"/>
    <cellStyle name="Currency 3" xfId="9"/>
    <cellStyle name="Hyperlink" xfId="7" builtinId="8"/>
    <cellStyle name="Normal" xfId="0" builtinId="0"/>
    <cellStyle name="Normal 2" xfId="1"/>
    <cellStyle name="Normal 3" xfId="3"/>
    <cellStyle name="Normal 4" xfId="5"/>
    <cellStyle name="Normal 40" xfId="11"/>
    <cellStyle name="Normal 5" xfId="8"/>
    <cellStyle name="Normal 6" xfId="10"/>
    <cellStyle name="Percent" xfId="4" builtinId="5"/>
  </cellStyles>
  <dxfs count="0"/>
  <tableStyles count="0" defaultTableStyle="TableStyleMedium2" defaultPivotStyle="PivotStyleLight16"/>
  <colors>
    <mruColors>
      <color rgb="FFFFFFCC"/>
      <color rgb="FFFFFF66"/>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162050" cy="1152525"/>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0"/>
          <a:ext cx="1162050" cy="1152525"/>
        </a:xfrm>
        <a:prstGeom prst="rect">
          <a:avLst/>
        </a:prstGeom>
      </xdr:spPr>
    </xdr:pic>
    <xdr:clientData/>
  </xdr:oneCellAnchor>
  <xdr:oneCellAnchor>
    <xdr:from>
      <xdr:col>0</xdr:col>
      <xdr:colOff>11907</xdr:colOff>
      <xdr:row>3</xdr:row>
      <xdr:rowOff>0</xdr:rowOff>
    </xdr:from>
    <xdr:ext cx="5863828" cy="14506575"/>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11907" y="1419225"/>
          <a:ext cx="5863828" cy="14506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none" baseline="0"/>
            <a:t>The University has adopted a set of guiding principles, available at: </a:t>
          </a:r>
          <a:r>
            <a:rPr lang="en-US" sz="1100" b="1" u="none" baseline="0">
              <a:solidFill>
                <a:srgbClr val="FF0000"/>
              </a:solidFill>
            </a:rPr>
            <a:t> http://www.ccsu.edu/fiscalaffairs/ibm.html</a:t>
          </a:r>
          <a:endParaRPr lang="en-US" sz="1100" b="1" u="sng" baseline="0"/>
        </a:p>
        <a:p>
          <a:endParaRPr lang="en-US" sz="1000" b="0" u="none" baseline="0"/>
        </a:p>
        <a:p>
          <a:r>
            <a:rPr lang="en-US" sz="1000" b="0" u="none" baseline="0"/>
            <a:t>These instructions are for use in preparing the budget submission.   The Integrated Budget Model is a variation of Zero-Based Budgeting.  Zero-Based Budgeting assumes that each year department budgets begin at zero, and budget is allocated based on identified needs to meet service levels.  Where reallocation or new allocations occur, they will align with the strategic priorities of the University.</a:t>
          </a:r>
        </a:p>
        <a:p>
          <a:endParaRPr lang="en-US" sz="1000" b="0" u="none" baseline="0"/>
        </a:p>
        <a:p>
          <a:r>
            <a:rPr lang="en-US" sz="1000" b="0" u="none" baseline="0"/>
            <a:t>Below are instructions regarding the tabs in the workbook.  </a:t>
          </a:r>
        </a:p>
        <a:p>
          <a:endParaRPr lang="en-US" sz="1100" b="1" u="sng" baseline="0"/>
        </a:p>
        <a:p>
          <a:r>
            <a:rPr lang="en-US" sz="1100" b="1" u="sng" baseline="0"/>
            <a:t>Narrative:</a:t>
          </a:r>
        </a:p>
        <a:p>
          <a:r>
            <a:rPr lang="en-US" sz="1000" b="0" u="none" baseline="0"/>
            <a:t>Please provide a summary (paragraph) of the department's budget performance for the year to date in the current fiscal year.    </a:t>
          </a:r>
        </a:p>
        <a:p>
          <a:endParaRPr lang="en-US" sz="1000" b="0" u="none" baseline="0"/>
        </a:p>
        <a:p>
          <a:r>
            <a:rPr lang="en-US" sz="1000" b="0" u="none" baseline="0"/>
            <a:t>Please provide a brief overview of the department's primary cost drivers and their linkage to the four strategic priorities (Academic Excellence, Community Engagement, Increased Enrollment, Increased Revenue) or safety enhancement.</a:t>
          </a:r>
          <a:r>
            <a:rPr lang="en-US" sz="1000"/>
            <a:t> </a:t>
          </a:r>
          <a:endParaRPr lang="en-US" sz="1000" b="0" u="none" baseline="0"/>
        </a:p>
        <a:p>
          <a:r>
            <a:rPr lang="en-US" sz="1000" b="0" u="none" baseline="0"/>
            <a:t>Describe the process you used to communicate with others in your department to prepare your request.</a:t>
          </a:r>
        </a:p>
        <a:p>
          <a:r>
            <a:rPr lang="en-US" sz="1100" b="1" u="sng" baseline="0"/>
            <a:t>Data and Benchmarks:</a:t>
          </a:r>
        </a:p>
        <a:p>
          <a:r>
            <a:rPr lang="en-US" sz="1000" b="0" u="none" baseline="0"/>
            <a:t>Historical data for academic unit will be prepopulated with a link to the applicable data. Unique metrics will be developed for administrative functions using industry standards, where available.</a:t>
          </a:r>
        </a:p>
        <a:p>
          <a:endParaRPr lang="en-US" sz="1100" b="0" u="none" baseline="0"/>
        </a:p>
        <a:p>
          <a:r>
            <a:rPr lang="en-US" sz="1100" b="1" u="sng" baseline="0"/>
            <a:t>Budget Worksheet by Banner Index:</a:t>
          </a:r>
        </a:p>
        <a:p>
          <a:r>
            <a:rPr lang="en-US" sz="1000" b="0" u="none" baseline="0">
              <a:solidFill>
                <a:sysClr val="windowText" lastClr="000000"/>
              </a:solidFill>
            </a:rPr>
            <a:t>The Budget Worksheet has been populated with FY 16, FY 17 &amp; FY 18 historical expense data, the FY19 DPS/OE budget &amp; for academic units the allocated part-time lecturer budget.  Please populate what you expect to spend in the current year (SFY 2019) to assist in developing the budget planning scenarios.  Fringe benefits are not included in the budget worksheet.  Do not override any formulas. </a:t>
          </a:r>
        </a:p>
        <a:p>
          <a:endParaRPr lang="en-US" sz="1000" b="0" u="none" baseline="0"/>
        </a:p>
        <a:p>
          <a:r>
            <a:rPr lang="en-US" sz="1000" b="0" u="none" baseline="0"/>
            <a:t>The annual budgeted Personal services value has been prepopulated by the Fiscal Division based on the detail on the FT Salaries Tab.  This information has been provided for informational purposes and does not need to be projected for the current year.  </a:t>
          </a:r>
        </a:p>
        <a:p>
          <a:r>
            <a:rPr lang="en-US" sz="1000" b="0" u="none" baseline="0"/>
            <a:t> </a:t>
          </a:r>
        </a:p>
        <a:p>
          <a:r>
            <a:rPr lang="en-US" sz="1000" b="0" u="none" baseline="0"/>
            <a:t>Operating expenses will be broken out at the account code level.  Travel expensed to other departments or funds should be included where indicated on the worksheet.   </a:t>
          </a:r>
        </a:p>
        <a:p>
          <a:endParaRPr lang="en-US" sz="1000" b="0" u="none" baseline="0"/>
        </a:p>
        <a:p>
          <a:r>
            <a:rPr lang="en-US" sz="1000" b="0" u="none" baseline="0"/>
            <a:t>Equipment $1,000 or greater with a useful life of 1 year or more </a:t>
          </a:r>
          <a:r>
            <a:rPr lang="en-US" sz="1000" b="0" u="none" baseline="0">
              <a:solidFill>
                <a:srgbClr val="FF0000"/>
              </a:solidFill>
            </a:rPr>
            <a:t>should not </a:t>
          </a:r>
          <a:r>
            <a:rPr lang="en-US" sz="1000" b="0" u="none" baseline="0"/>
            <a:t>be included on the "Budget Worksheet" and should be included in the "Capital Equipment Template"</a:t>
          </a:r>
        </a:p>
        <a:p>
          <a:endParaRPr lang="en-US" sz="1000" b="0" u="none" baseline="0"/>
        </a:p>
        <a:p>
          <a:r>
            <a:rPr lang="en-US" sz="1000" b="0" u="none" baseline="0">
              <a:solidFill>
                <a:sysClr val="windowText" lastClr="000000"/>
              </a:solidFill>
            </a:rPr>
            <a:t>Baseline Operations: This column should reflect the baseline operational needs at the account index level to support existing programs and operations.  These expenses should be ongoing that can't be adjusted without affecting the current programs and services provided by the department.  Compare prior year expenditures and expected current year expenditures for historical analysis.    </a:t>
          </a:r>
        </a:p>
        <a:p>
          <a:endParaRPr lang="en-US" sz="1000" b="0" u="none" baseline="0"/>
        </a:p>
        <a:p>
          <a:r>
            <a:rPr lang="en-US" sz="1000" b="0" u="none" baseline="0"/>
            <a:t>Strategic Activities/Initiatives/Programs:  There are three columns provided (A, B, C) to provide a proposed budget by account code for any strategic initiatives, activities, or programs.  Justification for these will be provided on the "</a:t>
          </a:r>
          <a:r>
            <a:rPr lang="en-US" sz="1000" b="1" u="none" baseline="0"/>
            <a:t>Strategic Funding Request" tab </a:t>
          </a:r>
          <a:r>
            <a:rPr lang="en-US" sz="1000" b="0" u="none" baseline="0"/>
            <a:t>where they will be summarized for all Indexes. </a:t>
          </a:r>
        </a:p>
        <a:p>
          <a:endParaRPr lang="en-US" sz="1000" b="0" u="none" baseline="0"/>
        </a:p>
        <a:p>
          <a:r>
            <a:rPr lang="en-US" sz="1000" b="0" u="none" baseline="0"/>
            <a:t>Reduction Scenario: This column should reflect a line item budget with a 3% reduction in available funding.  The reductions can be taken in any account code as long as the total amount reflects a 3% reduction in available funding.   The purpose of this is to develop an understanding from the Department's personnel closest to the work solutions for addressing potential reductions.  All reductions should be consolidated and provided on the "</a:t>
          </a:r>
          <a:r>
            <a:rPr lang="en-US" sz="1000" b="1" u="none" baseline="0"/>
            <a:t>Reduction Worksheet" tab</a:t>
          </a:r>
          <a:r>
            <a:rPr lang="en-US" sz="1000" b="0" u="none" baseline="0"/>
            <a:t>. </a:t>
          </a:r>
        </a:p>
        <a:p>
          <a:endParaRPr lang="en-US" sz="1100" b="1" u="sng" baseline="0"/>
        </a:p>
        <a:p>
          <a:r>
            <a:rPr lang="en-US" sz="1000" b="0" i="0" u="none" baseline="0"/>
            <a:t>Assumptions: Include any assumptions that went into determining the baseline needs, and an explanation and justification if the baseline represents an increase from prior year.  </a:t>
          </a:r>
        </a:p>
        <a:p>
          <a:endParaRPr lang="en-US" sz="1000" b="0" u="none" baseline="0"/>
        </a:p>
        <a:p>
          <a:r>
            <a:rPr lang="en-US" sz="1100" b="1" u="sng" baseline="0"/>
            <a:t>Capital Equipment:</a:t>
          </a:r>
        </a:p>
        <a:p>
          <a:r>
            <a:rPr lang="en-US" sz="1000" b="0" u="none" baseline="0"/>
            <a:t>Equipment is generally defined as costing $1,000 or greater per item with a useful life of 1 year or more. Items which do not meet this criteria or are not equipment (i.e. staffing)  will be removed from the request.  </a:t>
          </a:r>
        </a:p>
        <a:p>
          <a:endParaRPr lang="en-US" sz="1000" b="0" u="none" baseline="0"/>
        </a:p>
        <a:p>
          <a:r>
            <a:rPr lang="en-US" sz="1000" b="0" u="none" baseline="0"/>
            <a:t>Existing computers and audio visual equipment replacements will be requested by IT or the Media Center.  If you have a room which has never had the item that you need from this list, or are requesting additional technology for a room, contact the following areas:</a:t>
          </a:r>
        </a:p>
        <a:p>
          <a:r>
            <a:rPr lang="en-US" sz="1000" b="0" u="none" baseline="0"/>
            <a:t>Computers and mobile devices, please submit this form: </a:t>
          </a:r>
          <a:r>
            <a:rPr lang="en-US" sz="1100" i="1">
              <a:solidFill>
                <a:schemeClr val="tx1"/>
              </a:solidFill>
              <a:effectLst/>
              <a:latin typeface="+mn-lt"/>
              <a:ea typeface="+mn-ea"/>
              <a:cs typeface="+mn-cs"/>
            </a:rPr>
            <a:t>:</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Service Offering: Classroom/Lab Request for Funding – Hardware</a:t>
          </a:r>
          <a:r>
            <a:rPr lang="en-US" sz="1100" u="sng">
              <a:solidFill>
                <a:schemeClr val="tx1"/>
              </a:solidFill>
              <a:effectLst/>
              <a:latin typeface="+mn-lt"/>
              <a:ea typeface="+mn-ea"/>
              <a:cs typeface="+mn-cs"/>
            </a:rPr>
            <a:t> </a:t>
          </a:r>
          <a:r>
            <a:rPr lang="en-US" sz="1100" u="none" baseline="0">
              <a:solidFill>
                <a:schemeClr val="tx1"/>
              </a:solidFill>
              <a:effectLst/>
              <a:latin typeface="+mn-lt"/>
              <a:ea typeface="+mn-ea"/>
              <a:cs typeface="+mn-cs"/>
            </a:rPr>
            <a:t> and you may contact Amy Ku</a:t>
          </a:r>
          <a:r>
            <a:rPr lang="en-US" sz="1000" b="0" u="none" baseline="0"/>
            <a:t>llgren in IT at amy.kullgren@ccsu.edu.  Instructor Workstations, projectors, projector screens, Clickshares, televisions, audio systems and other audio visual related equipment please submit this form </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https://form.jotform.com/73025596788976</a:t>
          </a:r>
          <a:r>
            <a:rPr lang="en-US" sz="1000" b="0" u="none" baseline="0"/>
            <a:t> and you may contact Chad Valk in the Media Center at valkc@ccsu.edu. </a:t>
          </a:r>
        </a:p>
        <a:p>
          <a:endParaRPr lang="en-US" sz="1000" b="0" u="none" baseline="0"/>
        </a:p>
        <a:p>
          <a:r>
            <a:rPr lang="en-US" sz="1000" b="0" u="none" baseline="0"/>
            <a:t>If the Capital Equipment request is tied to a Renovation, please ensure you include a Capital Projects and</a:t>
          </a:r>
        </a:p>
        <a:p>
          <a:r>
            <a:rPr lang="en-US" sz="1000" b="0" u="none" baseline="0"/>
            <a:t>Space Planning Requesr form that can be found here: </a:t>
          </a:r>
          <a:r>
            <a:rPr lang="en-US" sz="1100" b="0" i="0" u="sng" strike="noStrike">
              <a:solidFill>
                <a:schemeClr val="tx1"/>
              </a:solidFill>
              <a:effectLst/>
              <a:latin typeface="+mn-lt"/>
              <a:ea typeface="+mn-ea"/>
              <a:cs typeface="+mn-cs"/>
              <a:hlinkClick xmlns:r="http://schemas.openxmlformats.org/officeDocument/2006/relationships" r:id=""/>
            </a:rPr>
            <a:t>“http://www.ccsu.edu/facilitiesmanagement/forms”  </a:t>
          </a:r>
          <a:endParaRPr lang="en-US" sz="1000" b="0" u="none" baseline="0"/>
        </a:p>
        <a:p>
          <a:r>
            <a:rPr lang="en-US" sz="1000" b="0" u="none" baseline="0"/>
            <a:t>You may contact Facilities with any questions.				</a:t>
          </a:r>
        </a:p>
        <a:p>
          <a:endParaRPr lang="en-US" sz="1000" b="0" u="none" baseline="0">
            <a:solidFill>
              <a:schemeClr val="tx1"/>
            </a:solidFill>
            <a:effectLst/>
            <a:latin typeface="+mn-lt"/>
            <a:ea typeface="+mn-ea"/>
            <a:cs typeface="+mn-cs"/>
          </a:endParaRPr>
        </a:p>
        <a:p>
          <a:r>
            <a:rPr lang="en-US" sz="1000" b="0" baseline="0">
              <a:solidFill>
                <a:schemeClr val="tx1"/>
              </a:solidFill>
              <a:effectLst/>
              <a:latin typeface="+mn-lt"/>
              <a:ea typeface="+mn-ea"/>
              <a:cs typeface="+mn-cs"/>
            </a:rPr>
            <a:t>Do not include capital equipment which is part of large scale construction project (i.e. W&amp;D, Engineering Building, Huang Recreation Center).</a:t>
          </a:r>
        </a:p>
        <a:p>
          <a:endParaRPr lang="en-US" sz="1000">
            <a:effectLst/>
          </a:endParaRPr>
        </a:p>
        <a:p>
          <a:r>
            <a:rPr lang="en-US" sz="1000" b="1" u="sng" baseline="0">
              <a:solidFill>
                <a:schemeClr val="tx1"/>
              </a:solidFill>
              <a:effectLst/>
              <a:latin typeface="+mn-lt"/>
              <a:ea typeface="+mn-ea"/>
              <a:cs typeface="+mn-cs"/>
            </a:rPr>
            <a:t>Equipment below $1,000:</a:t>
          </a:r>
          <a:endParaRPr lang="en-US" sz="1000">
            <a:effectLst/>
          </a:endParaRPr>
        </a:p>
        <a:p>
          <a:r>
            <a:rPr lang="en-US" sz="1000" b="0" i="0">
              <a:solidFill>
                <a:schemeClr val="tx1"/>
              </a:solidFill>
              <a:effectLst/>
              <a:latin typeface="+mn-lt"/>
              <a:ea typeface="+mn-ea"/>
              <a:cs typeface="+mn-cs"/>
            </a:rPr>
            <a:t>Any Equipment less than $1,000  which requires replacing over next 3 years (intended to be substantial equipment no supplies) which does not already have a source of funds.</a:t>
          </a:r>
          <a:r>
            <a:rPr lang="en-US" sz="1000" b="0">
              <a:solidFill>
                <a:schemeClr val="tx1"/>
              </a:solidFill>
              <a:effectLst/>
              <a:latin typeface="+mn-lt"/>
              <a:ea typeface="+mn-ea"/>
              <a:cs typeface="+mn-cs"/>
            </a:rPr>
            <a:t> </a:t>
          </a:r>
        </a:p>
        <a:p>
          <a:endParaRPr lang="en-US" sz="1000">
            <a:effectLst/>
          </a:endParaRPr>
        </a:p>
        <a:p>
          <a:r>
            <a:rPr lang="en-US" sz="1000" b="1" u="sng" baseline="0">
              <a:solidFill>
                <a:schemeClr val="tx1"/>
              </a:solidFill>
              <a:effectLst/>
              <a:latin typeface="+mn-lt"/>
              <a:ea typeface="+mn-ea"/>
              <a:cs typeface="+mn-cs"/>
            </a:rPr>
            <a:t>Revenue Summary Other Sources:</a:t>
          </a:r>
          <a:endParaRPr lang="en-US" sz="1000">
            <a:effectLst/>
          </a:endParaRPr>
        </a:p>
        <a:p>
          <a:r>
            <a:rPr lang="en-US" sz="1000" b="0" baseline="0">
              <a:solidFill>
                <a:schemeClr val="tx1"/>
              </a:solidFill>
              <a:effectLst/>
              <a:latin typeface="+mn-lt"/>
              <a:ea typeface="+mn-ea"/>
              <a:cs typeface="+mn-cs"/>
            </a:rPr>
            <a:t>The purpose of this schedule is to list any/all funding resources available to you which are outside of your annual budget index so that the University can have a complete picture of all resources available to your department.  Examples of this might include:   Foundation funds, Indirect accounts, funds which you can spend but are held in a divisional index, reserves or bond funds.   Examples of funds that should be excluded:  funds you are the custodian for such as Student Activity Funds, grant accounts and/ or Perkins Loan Funds. For every amount listed, a detailed transactional history shall be provided. </a:t>
          </a:r>
          <a:endParaRPr lang="en-US" sz="1000">
            <a:effectLst/>
          </a:endParaRPr>
        </a:p>
        <a:p>
          <a:r>
            <a:rPr lang="en-US" sz="1000" b="0" u="none" baseline="0"/>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83821</xdr:colOff>
      <xdr:row>3</xdr:row>
      <xdr:rowOff>0</xdr:rowOff>
    </xdr:from>
    <xdr:to>
      <xdr:col>5</xdr:col>
      <xdr:colOff>426721</xdr:colOff>
      <xdr:row>9</xdr:row>
      <xdr:rowOff>114300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83821" y="594360"/>
          <a:ext cx="5349240" cy="1303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Overview:</a:t>
          </a:r>
        </a:p>
        <a:p>
          <a:endParaRPr lang="en-US" sz="1100" b="1"/>
        </a:p>
        <a:p>
          <a:r>
            <a:rPr lang="en-US" sz="1200" b="1" baseline="0"/>
            <a:t>Provide a brief overview of cost drivers in the department and their linkage to the strategic objectives.</a:t>
          </a:r>
          <a:endParaRPr lang="en-US" sz="1200" b="1"/>
        </a:p>
        <a:p>
          <a:endParaRPr lang="en-US" sz="1100" b="1"/>
        </a:p>
        <a:p>
          <a:endParaRPr lang="en-US" sz="1100" b="1"/>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9</xdr:row>
          <xdr:rowOff>123825</xdr:rowOff>
        </xdr:from>
        <xdr:to>
          <xdr:col>5</xdr:col>
          <xdr:colOff>638175</xdr:colOff>
          <xdr:row>26</xdr:row>
          <xdr:rowOff>76200</xdr:rowOff>
        </xdr:to>
        <xdr:sp macro="" textlink="">
          <xdr:nvSpPr>
            <xdr:cNvPr id="2056" name="TextBox1"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budget\Budget%20FY18\Zero%20Base%20Budgeting%20Pilot\CCSU_BudgetModel_Version110317%20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Integrated%20Budget%20Process\CCSU_BudgetModel_Version110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budget\Budget%20FY18\Zero%20Base%20Budgeting%20Pilot\Budget%20Models%20Draft%20for%20Pilot_Lisa%20Working%20Copies\Financial%20Data%20by%20Department\Athletics\CCSU_Budget_Model_Athletic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sinsi/AppData/Local/Microsoft/Windows/INetCache/Content.Outlook/VDNTQWUL/Copy%20of%20MENS40%20Baseball%20IBM%20FY19%20%20FY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sinsi/AppData/Local/Microsoft/Windows/INetCache/Content.Outlook/VDNTQWUL/Copy%20of%20CCSU_BudgetModel_All%20Athletics%20w_Summary%2011-8-18%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s"/>
      <sheetName val="IT Metrics (TBD)"/>
      <sheetName val="Athletics Metrics (TBD)"/>
      <sheetName val="Budget Worksheet"/>
      <sheetName val="FT Salaries"/>
      <sheetName val="Impact"/>
      <sheetName val="Capital Equipment Template "/>
      <sheetName val="Division Worksheet"/>
      <sheetName val="Revised One-Time &amp; Capital"/>
      <sheetName val="Account Codes"/>
      <sheetName val="DeptListing"/>
      <sheetName val="StratObjectiv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
      <sheetName val="Budget Worksheet"/>
      <sheetName val="FT Salaries"/>
      <sheetName val="Impact"/>
      <sheetName val="Division Worksheet"/>
      <sheetName val="Revised One-Time &amp; Capital"/>
      <sheetName val="Capital Equipment 1,000 + "/>
      <sheetName val="Equipment below $1,000"/>
      <sheetName val="Sheet2"/>
      <sheetName val="Account Codes"/>
      <sheetName val="DeptListing"/>
      <sheetName val="StratObjectives"/>
      <sheetName val="Academic Data and Bench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thletics Data and Benchmarks"/>
      <sheetName val="Budget Worksheet-Summary"/>
      <sheetName val="FT Salaries"/>
      <sheetName val="ATHL40"/>
      <sheetName val="ATHL42"/>
      <sheetName val="ATHL43"/>
      <sheetName val="ATHL44"/>
      <sheetName val="ATHL45"/>
      <sheetName val="ATHL46"/>
      <sheetName val="ATHL47"/>
      <sheetName val="ATHL48"/>
      <sheetName val="ATHL49"/>
      <sheetName val="ATHL50"/>
      <sheetName val="MENS40"/>
      <sheetName val="MENS41"/>
      <sheetName val="MENS42"/>
      <sheetName val="MENS43"/>
      <sheetName val="MENS44"/>
      <sheetName val="MENS46"/>
      <sheetName val="MENS50"/>
      <sheetName val="WMNS41"/>
      <sheetName val="WMNS42"/>
      <sheetName val="WMNS44"/>
      <sheetName val="WMNS45"/>
      <sheetName val="WMNS46"/>
      <sheetName val="WMNS47"/>
      <sheetName val="WMNS48"/>
      <sheetName val="WMNS50"/>
      <sheetName val="WMNS51"/>
      <sheetName val="Impact"/>
      <sheetName val="Division Worksheet"/>
      <sheetName val="Revised One-Time &amp; Capital"/>
      <sheetName val="Capital Equipment Template"/>
      <sheetName val="Account Codes"/>
      <sheetName val="DeptListing"/>
      <sheetName val="StratObjectives"/>
      <sheetName val="Athletics Metrics (TB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37"/>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dget Worksheet"/>
      <sheetName val="FY19 Expected Expense"/>
      <sheetName val="FY19 YTD"/>
    </sheetNames>
    <sheetDataSet>
      <sheetData sheetId="0" refreshError="1"/>
      <sheetData sheetId="1" refreshError="1"/>
      <sheetData sheetId="2">
        <row r="19">
          <cell r="D19">
            <v>650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Objectiv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5" Type="http://schemas.openxmlformats.org/officeDocument/2006/relationships/printerSettings" Target="../printerSettings/printerSettings36.bin"/><Relationship Id="rId4" Type="http://schemas.openxmlformats.org/officeDocument/2006/relationships/hyperlink" Target="http://www.ccsu.edu/facilitiesmanagement/forms.html"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5" Type="http://schemas.openxmlformats.org/officeDocument/2006/relationships/printerSettings" Target="../printerSettings/printerSettings37.bin"/><Relationship Id="rId4" Type="http://schemas.openxmlformats.org/officeDocument/2006/relationships/hyperlink" Target="http://www.ccsu.edu/facilitiesmanagement/forms.html"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76"/>
  <sheetViews>
    <sheetView showGridLines="0" topLeftCell="A52" zoomScale="160" zoomScaleNormal="160" workbookViewId="0">
      <selection activeCell="A39" sqref="A39:XFD39"/>
    </sheetView>
  </sheetViews>
  <sheetFormatPr defaultRowHeight="15" x14ac:dyDescent="0.25"/>
  <cols>
    <col min="1" max="10" width="9.140625" style="278"/>
  </cols>
  <sheetData>
    <row r="1" spans="1:10" ht="18" x14ac:dyDescent="0.25">
      <c r="A1" s="277"/>
    </row>
    <row r="2" spans="1:10" ht="78" customHeight="1" x14ac:dyDescent="0.4">
      <c r="A2" s="279"/>
      <c r="C2" s="280" t="s">
        <v>684</v>
      </c>
      <c r="D2" s="281"/>
      <c r="E2" s="281"/>
      <c r="F2" s="281"/>
      <c r="G2" s="281"/>
      <c r="H2" s="281"/>
      <c r="I2" s="281"/>
      <c r="J2" s="281"/>
    </row>
    <row r="3" spans="1:10" ht="16.149999999999999" customHeight="1" x14ac:dyDescent="0.25">
      <c r="A3" s="282"/>
      <c r="B3" s="283"/>
      <c r="C3" s="283"/>
      <c r="D3" s="283"/>
      <c r="E3" s="283"/>
      <c r="F3" s="283"/>
      <c r="G3" s="283"/>
      <c r="H3" s="283"/>
      <c r="I3" s="283"/>
      <c r="J3" s="283"/>
    </row>
    <row r="4" spans="1:10" x14ac:dyDescent="0.25">
      <c r="A4" s="279"/>
    </row>
    <row r="5" spans="1:10" x14ac:dyDescent="0.25">
      <c r="A5" s="279"/>
    </row>
    <row r="6" spans="1:10" x14ac:dyDescent="0.25">
      <c r="A6" s="279"/>
    </row>
    <row r="7" spans="1:10" x14ac:dyDescent="0.25">
      <c r="A7" s="279"/>
    </row>
    <row r="8" spans="1:10" x14ac:dyDescent="0.25">
      <c r="A8" s="279"/>
    </row>
    <row r="9" spans="1:10" x14ac:dyDescent="0.25">
      <c r="A9" s="279"/>
    </row>
    <row r="45" ht="36.75" customHeight="1" x14ac:dyDescent="0.25"/>
    <row r="76" ht="18" customHeight="1" x14ac:dyDescent="0.25"/>
  </sheetData>
  <pageMargins left="0.2" right="0.2" top="0.75" bottom="0.5" header="0.3" footer="0.3"/>
  <pageSetup orientation="portrait" r:id="rId1"/>
  <headerFooter>
    <oddHeader>&amp;C&amp;"Calibri,Bold"&amp;A</oddHeader>
    <oddFooter>&amp;Rprinted:  &amp;D&amp;T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42"/>
  <sheetViews>
    <sheetView showGridLines="0" zoomScaleNormal="100" workbookViewId="0">
      <selection activeCell="O19" sqref="O19"/>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832</v>
      </c>
      <c r="O1" s="164"/>
    </row>
    <row r="2" spans="1:19" ht="23.25" customHeight="1" thickBot="1" x14ac:dyDescent="0.3">
      <c r="A2" s="290" t="s">
        <v>810</v>
      </c>
      <c r="B2" s="232"/>
      <c r="C2" s="292" t="s">
        <v>833</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c r="B6" s="169"/>
      <c r="C6" s="146"/>
      <c r="D6" s="170"/>
      <c r="E6" s="171"/>
      <c r="F6" s="171"/>
      <c r="G6" s="171"/>
      <c r="H6" s="171"/>
      <c r="I6" s="172"/>
      <c r="J6" s="173">
        <f>I6-H6</f>
        <v>0</v>
      </c>
      <c r="K6" s="174" t="e">
        <f>(I6-H6)/H6</f>
        <v>#DIV/0!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0</v>
      </c>
      <c r="F8" s="179">
        <f>SUM(F6:F7)</f>
        <v>0</v>
      </c>
      <c r="G8" s="179">
        <f>SUM(G6:G7)</f>
        <v>0</v>
      </c>
      <c r="H8" s="179">
        <f>SUM(H6:H7)</f>
        <v>0</v>
      </c>
      <c r="I8" s="179">
        <f>SUM(I6:I7)</f>
        <v>0</v>
      </c>
      <c r="J8" s="180">
        <f>I8-H8</f>
        <v>0</v>
      </c>
      <c r="K8" s="181" t="e">
        <f>(I8-H8)/H8</f>
        <v>#DIV/0!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5"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c r="B12" s="169"/>
      <c r="C12" s="146"/>
      <c r="D12" s="170"/>
      <c r="E12" s="171"/>
      <c r="F12" s="171"/>
      <c r="G12" s="171"/>
      <c r="H12" s="171"/>
      <c r="I12" s="172"/>
      <c r="J12" s="173">
        <f t="shared" si="1"/>
        <v>0</v>
      </c>
      <c r="K12" s="174" t="e">
        <f t="shared" ref="K12:K15" si="2">(I12-H12)/H12</f>
        <v>#DIV/0!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222"/>
      <c r="B15" s="222"/>
      <c r="C15" s="183" t="s">
        <v>704</v>
      </c>
      <c r="D15" s="184"/>
      <c r="E15" s="185">
        <f>SUM(E12:E14)</f>
        <v>0</v>
      </c>
      <c r="F15" s="185">
        <f>SUM(F12:F14)</f>
        <v>0</v>
      </c>
      <c r="G15" s="185">
        <f>SUM(G12:G14)</f>
        <v>0</v>
      </c>
      <c r="H15" s="185">
        <f>SUM(H12:H14)</f>
        <v>0</v>
      </c>
      <c r="I15" s="185">
        <f>SUM(I12:I14)</f>
        <v>0</v>
      </c>
      <c r="J15" s="185">
        <f t="shared" si="1"/>
        <v>0</v>
      </c>
      <c r="K15" s="186" t="e">
        <f t="shared" si="2"/>
        <v>#DIV/0!</v>
      </c>
      <c r="L15" s="185">
        <f>SUM(L12:L14)</f>
        <v>0</v>
      </c>
      <c r="M15" s="185">
        <f>SUM(M12:M14)</f>
        <v>0</v>
      </c>
      <c r="N15" s="185">
        <f>SUM(N12:N14)</f>
        <v>0</v>
      </c>
      <c r="O15" s="185">
        <f>SUM(O12:O14)</f>
        <v>0</v>
      </c>
      <c r="P15" s="187"/>
      <c r="Q15" s="157"/>
      <c r="R15" s="157"/>
      <c r="S15" s="157"/>
    </row>
    <row r="16" spans="1:19" ht="7.5" customHeight="1" thickBot="1" x14ac:dyDescent="0.25">
      <c r="A16" s="188"/>
      <c r="B16" s="188"/>
      <c r="C16" s="189"/>
      <c r="D16" s="190"/>
      <c r="E16" s="189"/>
      <c r="F16" s="189"/>
      <c r="G16" s="189"/>
      <c r="H16" s="189"/>
      <c r="I16" s="191"/>
      <c r="J16" s="191"/>
      <c r="K16" s="191"/>
      <c r="L16" s="191"/>
      <c r="M16" s="191"/>
      <c r="N16" s="191"/>
      <c r="O16" s="191"/>
      <c r="P16" s="192"/>
      <c r="Q16" s="157"/>
      <c r="R16" s="157"/>
      <c r="S16" s="157"/>
    </row>
    <row r="17" spans="1:16" s="157" customFormat="1" ht="51.75" thickBot="1" x14ac:dyDescent="0.25">
      <c r="A17" s="293" t="s">
        <v>811</v>
      </c>
      <c r="B17" s="293" t="s">
        <v>812</v>
      </c>
      <c r="C17" s="229" t="s">
        <v>633</v>
      </c>
      <c r="D17" s="249"/>
      <c r="E17" s="295" t="s">
        <v>749</v>
      </c>
      <c r="F17" s="234" t="s">
        <v>750</v>
      </c>
      <c r="G17" s="234" t="s">
        <v>751</v>
      </c>
      <c r="H17" s="294" t="s">
        <v>747</v>
      </c>
      <c r="I17" s="234" t="s">
        <v>748</v>
      </c>
      <c r="J17" s="234" t="s">
        <v>745</v>
      </c>
      <c r="K17" s="295" t="s">
        <v>641</v>
      </c>
      <c r="L17" s="231" t="s">
        <v>642</v>
      </c>
      <c r="M17" s="231" t="s">
        <v>643</v>
      </c>
      <c r="N17" s="230" t="s">
        <v>644</v>
      </c>
      <c r="O17" s="294" t="s">
        <v>746</v>
      </c>
      <c r="P17" s="168" t="s">
        <v>969</v>
      </c>
    </row>
    <row r="18" spans="1:16" ht="31.5" customHeight="1" x14ac:dyDescent="0.2">
      <c r="A18" s="193" t="s">
        <v>432</v>
      </c>
      <c r="B18" s="318">
        <v>702106</v>
      </c>
      <c r="C18" s="194" t="s">
        <v>431</v>
      </c>
      <c r="D18" s="195"/>
      <c r="E18" s="196">
        <v>375</v>
      </c>
      <c r="F18" s="196"/>
      <c r="G18" s="196"/>
      <c r="H18" s="196"/>
      <c r="I18" s="196"/>
      <c r="J18" s="197">
        <f t="shared" ref="J18:J28" si="3">I18-H18</f>
        <v>0</v>
      </c>
      <c r="K18" s="198" t="e">
        <f t="shared" ref="K18:K28" si="4">(I18-H18)/H18</f>
        <v>#DIV/0!</v>
      </c>
      <c r="L18" s="196"/>
      <c r="M18" s="196"/>
      <c r="N18" s="196"/>
      <c r="O18" s="196"/>
      <c r="P18" s="199"/>
    </row>
    <row r="19" spans="1:16" ht="31.5" customHeight="1" x14ac:dyDescent="0.2">
      <c r="A19" s="193" t="s">
        <v>367</v>
      </c>
      <c r="B19" s="318">
        <v>701602</v>
      </c>
      <c r="C19" s="194" t="s">
        <v>366</v>
      </c>
      <c r="D19" s="195"/>
      <c r="E19" s="196">
        <v>620.14</v>
      </c>
      <c r="F19" s="196">
        <v>1689.64</v>
      </c>
      <c r="G19" s="196">
        <v>536.70000000000005</v>
      </c>
      <c r="H19" s="196">
        <v>1000</v>
      </c>
      <c r="I19" s="196">
        <v>1000</v>
      </c>
      <c r="J19" s="197">
        <f t="shared" si="3"/>
        <v>0</v>
      </c>
      <c r="K19" s="198">
        <f t="shared" si="4"/>
        <v>0</v>
      </c>
      <c r="L19" s="196"/>
      <c r="M19" s="196"/>
      <c r="N19" s="196"/>
      <c r="O19" s="196"/>
      <c r="P19" s="199"/>
    </row>
    <row r="20" spans="1:16" ht="31.5" customHeight="1" x14ac:dyDescent="0.2">
      <c r="A20" s="193" t="s">
        <v>363</v>
      </c>
      <c r="B20" s="318">
        <v>701603</v>
      </c>
      <c r="C20" s="194" t="s">
        <v>362</v>
      </c>
      <c r="D20" s="195"/>
      <c r="E20" s="196">
        <v>2585.2000000000003</v>
      </c>
      <c r="F20" s="196">
        <v>2312.65</v>
      </c>
      <c r="G20" s="196">
        <v>2041.1000000000001</v>
      </c>
      <c r="H20" s="196">
        <v>3009</v>
      </c>
      <c r="I20" s="196">
        <v>3009</v>
      </c>
      <c r="J20" s="197">
        <f t="shared" si="3"/>
        <v>0</v>
      </c>
      <c r="K20" s="198">
        <f t="shared" si="4"/>
        <v>0</v>
      </c>
      <c r="L20" s="196"/>
      <c r="M20" s="196"/>
      <c r="N20" s="196"/>
      <c r="O20" s="196"/>
      <c r="P20" s="199"/>
    </row>
    <row r="21" spans="1:16" ht="31.5" customHeight="1" x14ac:dyDescent="0.2">
      <c r="A21" s="193" t="s">
        <v>230</v>
      </c>
      <c r="B21" s="318">
        <v>707151</v>
      </c>
      <c r="C21" s="194" t="s">
        <v>15</v>
      </c>
      <c r="D21" s="195"/>
      <c r="E21" s="196">
        <v>84.84</v>
      </c>
      <c r="F21" s="196">
        <v>88.710000000000008</v>
      </c>
      <c r="G21" s="196">
        <v>90</v>
      </c>
      <c r="H21" s="196">
        <v>90</v>
      </c>
      <c r="I21" s="196">
        <v>90</v>
      </c>
      <c r="J21" s="197">
        <f t="shared" si="3"/>
        <v>0</v>
      </c>
      <c r="K21" s="198">
        <f t="shared" si="4"/>
        <v>0</v>
      </c>
      <c r="L21" s="196"/>
      <c r="M21" s="196"/>
      <c r="N21" s="196"/>
      <c r="O21" s="196"/>
      <c r="P21" s="199"/>
    </row>
    <row r="22" spans="1:16" ht="31.5" customHeight="1" x14ac:dyDescent="0.2">
      <c r="A22" s="193" t="s">
        <v>229</v>
      </c>
      <c r="B22" s="318">
        <v>707151</v>
      </c>
      <c r="C22" s="194" t="s">
        <v>16</v>
      </c>
      <c r="D22" s="195"/>
      <c r="E22" s="196">
        <v>0.47000000000000003</v>
      </c>
      <c r="F22" s="196">
        <v>0.4</v>
      </c>
      <c r="G22" s="196">
        <v>0.67</v>
      </c>
      <c r="H22" s="196"/>
      <c r="I22" s="196"/>
      <c r="J22" s="197">
        <f t="shared" si="3"/>
        <v>0</v>
      </c>
      <c r="K22" s="198" t="e">
        <f t="shared" si="4"/>
        <v>#DIV/0!</v>
      </c>
      <c r="L22" s="196"/>
      <c r="M22" s="196"/>
      <c r="N22" s="196"/>
      <c r="O22" s="196"/>
      <c r="P22" s="199"/>
    </row>
    <row r="23" spans="1:16" ht="31.5" customHeight="1" x14ac:dyDescent="0.2">
      <c r="A23" s="193" t="s">
        <v>193</v>
      </c>
      <c r="B23" s="318">
        <v>707307</v>
      </c>
      <c r="C23" s="194" t="s">
        <v>192</v>
      </c>
      <c r="D23" s="195"/>
      <c r="E23" s="196">
        <v>3513.5</v>
      </c>
      <c r="F23" s="196">
        <v>2965.9</v>
      </c>
      <c r="G23" s="196"/>
      <c r="H23" s="196">
        <v>4000</v>
      </c>
      <c r="I23" s="196">
        <v>4000</v>
      </c>
      <c r="J23" s="197">
        <f t="shared" si="3"/>
        <v>0</v>
      </c>
      <c r="K23" s="198">
        <f t="shared" si="4"/>
        <v>0</v>
      </c>
      <c r="L23" s="196"/>
      <c r="M23" s="196"/>
      <c r="N23" s="196"/>
      <c r="O23" s="196"/>
      <c r="P23" s="199"/>
    </row>
    <row r="24" spans="1:16" ht="31.5" customHeight="1" x14ac:dyDescent="0.2">
      <c r="A24" s="193"/>
      <c r="B24" s="193"/>
      <c r="C24" s="194"/>
      <c r="D24" s="195"/>
      <c r="E24" s="196"/>
      <c r="F24" s="196"/>
      <c r="G24" s="196"/>
      <c r="H24" s="196"/>
      <c r="I24" s="196"/>
      <c r="J24" s="197">
        <f t="shared" si="3"/>
        <v>0</v>
      </c>
      <c r="K24" s="198" t="e">
        <f t="shared" si="4"/>
        <v>#DIV/0!</v>
      </c>
      <c r="L24" s="196"/>
      <c r="M24" s="196"/>
      <c r="N24" s="196"/>
      <c r="O24" s="196"/>
      <c r="P24" s="199"/>
    </row>
    <row r="25" spans="1:16" ht="31.5" customHeight="1" x14ac:dyDescent="0.2">
      <c r="A25" s="193"/>
      <c r="B25" s="193"/>
      <c r="C25" s="194"/>
      <c r="D25" s="195"/>
      <c r="E25" s="196"/>
      <c r="F25" s="196"/>
      <c r="G25" s="196"/>
      <c r="H25" s="196"/>
      <c r="I25" s="196"/>
      <c r="J25" s="197">
        <f t="shared" si="3"/>
        <v>0</v>
      </c>
      <c r="K25" s="198" t="e">
        <f t="shared" si="4"/>
        <v>#DIV/0!</v>
      </c>
      <c r="L25" s="196"/>
      <c r="M25" s="196"/>
      <c r="N25" s="196"/>
      <c r="O25" s="196"/>
      <c r="P25" s="199"/>
    </row>
    <row r="26" spans="1:16" ht="31.5" customHeight="1" x14ac:dyDescent="0.2">
      <c r="A26" s="193"/>
      <c r="B26" s="193"/>
      <c r="C26" s="194"/>
      <c r="D26" s="195"/>
      <c r="E26" s="196"/>
      <c r="F26" s="196"/>
      <c r="G26" s="196"/>
      <c r="H26" s="196"/>
      <c r="I26" s="196"/>
      <c r="J26" s="197">
        <f t="shared" si="3"/>
        <v>0</v>
      </c>
      <c r="K26" s="198" t="e">
        <f t="shared" si="4"/>
        <v>#DIV/0!</v>
      </c>
      <c r="L26" s="196"/>
      <c r="M26" s="196"/>
      <c r="N26" s="196"/>
      <c r="O26" s="196"/>
      <c r="P26" s="199"/>
    </row>
    <row r="27" spans="1:16" ht="31.5" customHeight="1" x14ac:dyDescent="0.2">
      <c r="A27" s="193"/>
      <c r="B27" s="193"/>
      <c r="C27" s="194"/>
      <c r="D27" s="195"/>
      <c r="E27" s="196"/>
      <c r="F27" s="196"/>
      <c r="G27" s="196"/>
      <c r="H27" s="196"/>
      <c r="I27" s="196"/>
      <c r="J27" s="197">
        <f t="shared" si="3"/>
        <v>0</v>
      </c>
      <c r="K27" s="198" t="e">
        <f t="shared" si="4"/>
        <v>#DIV/0!</v>
      </c>
      <c r="L27" s="196"/>
      <c r="M27" s="196"/>
      <c r="N27" s="196"/>
      <c r="O27" s="196"/>
      <c r="P27" s="199"/>
    </row>
    <row r="28" spans="1:16" ht="13.5" thickBot="1" x14ac:dyDescent="0.25">
      <c r="A28" s="200"/>
      <c r="B28" s="200"/>
      <c r="C28" s="177" t="s">
        <v>22</v>
      </c>
      <c r="D28" s="201"/>
      <c r="E28" s="180">
        <f>SUM(E18:E27)</f>
        <v>7179.15</v>
      </c>
      <c r="F28" s="180">
        <f>SUM(F18:F27)</f>
        <v>7057.3</v>
      </c>
      <c r="G28" s="180">
        <f>SUM(G18:G27)</f>
        <v>2668.4700000000003</v>
      </c>
      <c r="H28" s="180">
        <f>SUM(H18:H27)</f>
        <v>8099</v>
      </c>
      <c r="I28" s="180">
        <f>SUM(I18:I27)</f>
        <v>8099</v>
      </c>
      <c r="J28" s="180">
        <f t="shared" si="3"/>
        <v>0</v>
      </c>
      <c r="K28" s="181">
        <f t="shared" si="4"/>
        <v>0</v>
      </c>
      <c r="L28" s="180">
        <f>SUM(L18:L27)</f>
        <v>0</v>
      </c>
      <c r="M28" s="180">
        <f>SUM(M18:M27)</f>
        <v>0</v>
      </c>
      <c r="N28" s="180">
        <f>SUM(N18:N27)</f>
        <v>0</v>
      </c>
      <c r="O28" s="180">
        <f>SUM(O18:O27)</f>
        <v>0</v>
      </c>
      <c r="P28" s="202"/>
    </row>
    <row r="29" spans="1:16" ht="13.5" thickBot="1" x14ac:dyDescent="0.25">
      <c r="A29" s="203"/>
      <c r="B29" s="203"/>
      <c r="C29" s="204" t="s">
        <v>702</v>
      </c>
      <c r="D29" s="205"/>
      <c r="E29" s="206">
        <f>E15+E28</f>
        <v>7179.15</v>
      </c>
      <c r="F29" s="206">
        <f>F15+F28</f>
        <v>7057.3</v>
      </c>
      <c r="G29" s="206">
        <f>G15+G28</f>
        <v>2668.4700000000003</v>
      </c>
      <c r="H29" s="206">
        <f>H15+H28</f>
        <v>8099</v>
      </c>
      <c r="I29" s="206">
        <f>I15+I28</f>
        <v>8099</v>
      </c>
      <c r="J29" s="206">
        <f>I29-H29</f>
        <v>0</v>
      </c>
      <c r="K29" s="207">
        <f>(I29-H29)/H29</f>
        <v>0</v>
      </c>
      <c r="L29" s="206">
        <f>L15+L28</f>
        <v>0</v>
      </c>
      <c r="M29" s="206">
        <f>M15+M28</f>
        <v>0</v>
      </c>
      <c r="N29" s="206">
        <f>N15+N28</f>
        <v>0</v>
      </c>
      <c r="O29" s="206">
        <f>O15+O28</f>
        <v>0</v>
      </c>
      <c r="P29" s="208"/>
    </row>
    <row r="30" spans="1:16" x14ac:dyDescent="0.2">
      <c r="A30" s="203"/>
      <c r="B30" s="203"/>
      <c r="C30" s="209" t="s">
        <v>698</v>
      </c>
      <c r="D30" s="210"/>
      <c r="E30" s="211"/>
      <c r="F30" s="211"/>
      <c r="G30" s="211"/>
      <c r="H30" s="212">
        <v>0</v>
      </c>
      <c r="I30" s="213"/>
      <c r="J30" s="213"/>
      <c r="K30" s="214"/>
      <c r="L30" s="213"/>
      <c r="M30" s="213"/>
      <c r="N30" s="213"/>
      <c r="O30" s="213"/>
      <c r="P30" s="215"/>
    </row>
    <row r="31" spans="1:16" x14ac:dyDescent="0.2">
      <c r="A31" s="203"/>
      <c r="B31" s="203"/>
      <c r="C31" s="183" t="s">
        <v>699</v>
      </c>
      <c r="D31" s="184"/>
      <c r="E31" s="216"/>
      <c r="F31" s="216"/>
      <c r="G31" s="216"/>
      <c r="H31" s="185">
        <v>3600</v>
      </c>
      <c r="I31" s="217"/>
      <c r="J31" s="217"/>
      <c r="K31" s="218"/>
      <c r="L31" s="217"/>
      <c r="M31" s="217"/>
      <c r="N31" s="217"/>
      <c r="O31" s="217"/>
      <c r="P31" s="219"/>
    </row>
    <row r="32" spans="1:16" x14ac:dyDescent="0.2">
      <c r="A32" s="203"/>
      <c r="B32" s="203"/>
      <c r="C32" s="183" t="s">
        <v>700</v>
      </c>
      <c r="D32" s="184"/>
      <c r="E32" s="216"/>
      <c r="F32" s="216"/>
      <c r="G32" s="216"/>
      <c r="H32" s="220">
        <f>H30-H10</f>
        <v>0</v>
      </c>
      <c r="I32" s="217"/>
      <c r="J32" s="217"/>
      <c r="K32" s="218"/>
      <c r="L32" s="217"/>
      <c r="M32" s="217"/>
      <c r="N32" s="217"/>
      <c r="O32" s="217"/>
      <c r="P32" s="219"/>
    </row>
    <row r="33" spans="1:16" x14ac:dyDescent="0.2">
      <c r="A33" s="221"/>
      <c r="B33" s="221"/>
      <c r="C33" s="183" t="s">
        <v>701</v>
      </c>
      <c r="D33" s="184"/>
      <c r="E33" s="217"/>
      <c r="F33" s="217"/>
      <c r="G33" s="217"/>
      <c r="H33" s="220">
        <f>H31-H29</f>
        <v>-4499</v>
      </c>
      <c r="I33" s="217"/>
      <c r="J33" s="217"/>
      <c r="K33" s="218"/>
      <c r="L33" s="217"/>
      <c r="M33" s="217"/>
      <c r="N33" s="217"/>
      <c r="O33" s="217"/>
      <c r="P33" s="219"/>
    </row>
    <row r="35" spans="1:16" s="157" customFormat="1" ht="27" customHeight="1" thickBot="1" x14ac:dyDescent="0.25">
      <c r="A35" s="158" t="s">
        <v>687</v>
      </c>
      <c r="B35" s="158" t="s">
        <v>687</v>
      </c>
      <c r="M35" s="406" t="s">
        <v>690</v>
      </c>
      <c r="N35" s="406"/>
      <c r="O35" s="406"/>
    </row>
    <row r="36" spans="1:16" s="157" customFormat="1" ht="51.75" thickBot="1" x14ac:dyDescent="0.25">
      <c r="A36" s="225"/>
      <c r="B36" s="225"/>
      <c r="C36" s="229" t="s">
        <v>633</v>
      </c>
      <c r="D36" s="249"/>
      <c r="E36" s="234" t="s">
        <v>749</v>
      </c>
      <c r="F36" s="234" t="s">
        <v>750</v>
      </c>
      <c r="G36" s="234" t="s">
        <v>751</v>
      </c>
      <c r="H36" s="294" t="s">
        <v>747</v>
      </c>
      <c r="I36" s="234" t="s">
        <v>748</v>
      </c>
      <c r="J36" s="234" t="s">
        <v>745</v>
      </c>
      <c r="K36" s="295" t="s">
        <v>641</v>
      </c>
      <c r="M36" s="145"/>
      <c r="N36" s="145" t="s">
        <v>693</v>
      </c>
      <c r="O36" s="145" t="s">
        <v>694</v>
      </c>
    </row>
    <row r="37" spans="1:16" s="157" customFormat="1" x14ac:dyDescent="0.2">
      <c r="A37" s="225"/>
      <c r="B37" s="225"/>
      <c r="C37" s="194" t="s">
        <v>688</v>
      </c>
      <c r="D37" s="195"/>
      <c r="E37" s="226"/>
      <c r="F37" s="226"/>
      <c r="G37" s="226"/>
      <c r="H37" s="226"/>
      <c r="I37" s="226"/>
      <c r="J37" s="227">
        <f>I37-H37</f>
        <v>0</v>
      </c>
      <c r="K37" s="228" t="e">
        <f>(I37-H37)/H37</f>
        <v>#DIV/0!</v>
      </c>
      <c r="M37" s="146" t="s">
        <v>691</v>
      </c>
      <c r="N37" s="146"/>
      <c r="O37" s="146"/>
    </row>
    <row r="38" spans="1:16" s="157" customFormat="1" x14ac:dyDescent="0.2">
      <c r="M38" s="146" t="s">
        <v>692</v>
      </c>
      <c r="N38" s="146"/>
      <c r="O38" s="146"/>
    </row>
    <row r="39" spans="1:16" s="157" customFormat="1" x14ac:dyDescent="0.2">
      <c r="M39" s="146" t="s">
        <v>23</v>
      </c>
      <c r="N39" s="146">
        <f>SUM(N37:N38)</f>
        <v>0</v>
      </c>
      <c r="O39" s="146">
        <f>SUM(O37:O38)</f>
        <v>0</v>
      </c>
    </row>
    <row r="40" spans="1:16" s="157" customFormat="1" x14ac:dyDescent="0.2"/>
    <row r="41" spans="1:16" s="157" customFormat="1" x14ac:dyDescent="0.2"/>
    <row r="42" spans="1:16" s="157" customFormat="1" x14ac:dyDescent="0.2"/>
  </sheetData>
  <mergeCells count="2">
    <mergeCell ref="L3:N3"/>
    <mergeCell ref="M35:O35"/>
  </mergeCells>
  <pageMargins left="0.25" right="0.25" top="0.67708333333333304" bottom="0.35416666666666702" header="0.3" footer="0.3"/>
  <pageSetup paperSize="5" scale="60" orientation="landscape" r:id="rId1"/>
  <headerFooter>
    <oddHeader>&amp;C&amp;"Calibri,Bold"&amp;A</oddHeader>
    <oddFooter>&amp;Rprinted:  &amp;D&amp;T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0"/>
  <sheetViews>
    <sheetView showGridLines="0" zoomScaleNormal="100" workbookViewId="0">
      <selection activeCell="O22" sqref="O22"/>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834</v>
      </c>
      <c r="O1" s="164"/>
    </row>
    <row r="2" spans="1:19" ht="23.25" customHeight="1" thickBot="1" x14ac:dyDescent="0.3">
      <c r="A2" s="290" t="s">
        <v>810</v>
      </c>
      <c r="B2" s="232"/>
      <c r="C2" s="292" t="s">
        <v>835</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c r="B6" s="169"/>
      <c r="C6" s="146"/>
      <c r="D6" s="170"/>
      <c r="E6" s="171"/>
      <c r="F6" s="171"/>
      <c r="G6" s="171"/>
      <c r="H6" s="171"/>
      <c r="I6" s="172"/>
      <c r="J6" s="173">
        <f>I6-H6</f>
        <v>0</v>
      </c>
      <c r="K6" s="174" t="e">
        <f>(I6-H6)/H6</f>
        <v>#DIV/0!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0</v>
      </c>
      <c r="F8" s="179">
        <f>SUM(F6:F7)</f>
        <v>0</v>
      </c>
      <c r="G8" s="179">
        <f>SUM(G6:G7)</f>
        <v>0</v>
      </c>
      <c r="H8" s="179">
        <f>SUM(H6:H7)</f>
        <v>0</v>
      </c>
      <c r="I8" s="179">
        <f>SUM(I6:I7)</f>
        <v>0</v>
      </c>
      <c r="J8" s="180">
        <f>I8-H8</f>
        <v>0</v>
      </c>
      <c r="K8" s="181" t="e">
        <f>(I8-H8)/H8</f>
        <v>#DIV/0!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4990.0200000000004</v>
      </c>
      <c r="F12" s="171">
        <v>4990</v>
      </c>
      <c r="G12" s="171">
        <v>4990.0200000000004</v>
      </c>
      <c r="H12" s="171">
        <v>4990</v>
      </c>
      <c r="I12" s="172">
        <v>4990</v>
      </c>
      <c r="J12" s="173">
        <f t="shared" si="1"/>
        <v>0</v>
      </c>
      <c r="K12" s="174">
        <f t="shared" ref="K12:K18" si="2">(I12-H12)/H12</f>
        <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4990.0200000000004</v>
      </c>
      <c r="F18" s="185">
        <f t="shared" ref="F18:I18" si="3">SUM(F12:F17)</f>
        <v>4990</v>
      </c>
      <c r="G18" s="185">
        <f t="shared" si="3"/>
        <v>4990.0200000000004</v>
      </c>
      <c r="H18" s="185">
        <f t="shared" si="3"/>
        <v>4990</v>
      </c>
      <c r="I18" s="185">
        <f t="shared" si="3"/>
        <v>4990</v>
      </c>
      <c r="J18" s="185">
        <f t="shared" si="1"/>
        <v>0</v>
      </c>
      <c r="K18" s="186">
        <f t="shared" si="2"/>
        <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416</v>
      </c>
      <c r="B21" s="318">
        <v>702200</v>
      </c>
      <c r="C21" s="194" t="s">
        <v>11</v>
      </c>
      <c r="D21" s="195"/>
      <c r="E21" s="196">
        <v>1993.2</v>
      </c>
      <c r="F21" s="196">
        <v>2351.25</v>
      </c>
      <c r="G21" s="196">
        <v>3348.9900000000002</v>
      </c>
      <c r="H21" s="196">
        <v>3500</v>
      </c>
      <c r="I21" s="196">
        <v>3500</v>
      </c>
      <c r="J21" s="197">
        <f t="shared" ref="J21:J26" si="5">I21-H21</f>
        <v>0</v>
      </c>
      <c r="K21" s="198">
        <f t="shared" ref="K21:K26" si="6">(I21-H21)/H21</f>
        <v>0</v>
      </c>
      <c r="L21" s="196"/>
      <c r="M21" s="196"/>
      <c r="N21" s="196"/>
      <c r="O21" s="196">
        <v>105</v>
      </c>
      <c r="P21" s="199"/>
    </row>
    <row r="22" spans="1:19" ht="31.5" customHeight="1" x14ac:dyDescent="0.2">
      <c r="A22" s="193"/>
      <c r="B22" s="193"/>
      <c r="C22" s="194"/>
      <c r="D22" s="195"/>
      <c r="E22" s="196"/>
      <c r="F22" s="196"/>
      <c r="G22" s="196"/>
      <c r="H22" s="196"/>
      <c r="I22" s="196"/>
      <c r="J22" s="197">
        <f t="shared" si="5"/>
        <v>0</v>
      </c>
      <c r="K22" s="198" t="e">
        <f t="shared" si="6"/>
        <v>#DIV/0!</v>
      </c>
      <c r="L22" s="196"/>
      <c r="M22" s="196"/>
      <c r="N22" s="196"/>
      <c r="O22" s="196"/>
      <c r="P22" s="199"/>
    </row>
    <row r="23" spans="1:19" ht="31.5" customHeight="1" x14ac:dyDescent="0.2">
      <c r="A23" s="193"/>
      <c r="B23" s="193"/>
      <c r="C23" s="194"/>
      <c r="D23" s="195"/>
      <c r="E23" s="196"/>
      <c r="F23" s="196"/>
      <c r="G23" s="196"/>
      <c r="H23" s="196"/>
      <c r="I23" s="196"/>
      <c r="J23" s="197">
        <f t="shared" si="5"/>
        <v>0</v>
      </c>
      <c r="K23" s="198" t="e">
        <f t="shared" si="6"/>
        <v>#DIV/0!</v>
      </c>
      <c r="L23" s="196"/>
      <c r="M23" s="196"/>
      <c r="N23" s="196"/>
      <c r="O23" s="196"/>
      <c r="P23" s="199"/>
    </row>
    <row r="24" spans="1:19" ht="31.5" customHeight="1" x14ac:dyDescent="0.2">
      <c r="A24" s="193"/>
      <c r="B24" s="193"/>
      <c r="C24" s="194"/>
      <c r="D24" s="195"/>
      <c r="E24" s="196"/>
      <c r="F24" s="196"/>
      <c r="G24" s="196"/>
      <c r="H24" s="196"/>
      <c r="I24" s="196"/>
      <c r="J24" s="197">
        <f t="shared" si="5"/>
        <v>0</v>
      </c>
      <c r="K24" s="198" t="e">
        <f t="shared" si="6"/>
        <v>#DIV/0!</v>
      </c>
      <c r="L24" s="196"/>
      <c r="M24" s="196"/>
      <c r="N24" s="196"/>
      <c r="O24" s="196"/>
      <c r="P24" s="199"/>
    </row>
    <row r="25" spans="1:19" ht="31.5" customHeight="1" x14ac:dyDescent="0.2">
      <c r="A25" s="193"/>
      <c r="B25" s="193"/>
      <c r="C25" s="194"/>
      <c r="D25" s="195"/>
      <c r="E25" s="196"/>
      <c r="F25" s="196"/>
      <c r="G25" s="196"/>
      <c r="H25" s="196"/>
      <c r="I25" s="196"/>
      <c r="J25" s="197">
        <f t="shared" si="5"/>
        <v>0</v>
      </c>
      <c r="K25" s="198" t="e">
        <f t="shared" si="6"/>
        <v>#DIV/0!</v>
      </c>
      <c r="L25" s="196"/>
      <c r="M25" s="196"/>
      <c r="N25" s="196"/>
      <c r="O25" s="196"/>
      <c r="P25" s="199"/>
    </row>
    <row r="26" spans="1:19" ht="13.5" thickBot="1" x14ac:dyDescent="0.25">
      <c r="A26" s="200"/>
      <c r="B26" s="200"/>
      <c r="C26" s="177" t="s">
        <v>22</v>
      </c>
      <c r="D26" s="201"/>
      <c r="E26" s="180">
        <f>SUM(E21:E25)</f>
        <v>1993.2</v>
      </c>
      <c r="F26" s="180">
        <f>SUM(F21:F25)</f>
        <v>2351.25</v>
      </c>
      <c r="G26" s="180">
        <f>SUM(G21:G25)</f>
        <v>3348.9900000000002</v>
      </c>
      <c r="H26" s="180">
        <f>SUM(H21:H25)</f>
        <v>3500</v>
      </c>
      <c r="I26" s="180">
        <f>SUM(I21:I25)</f>
        <v>3500</v>
      </c>
      <c r="J26" s="180">
        <f t="shared" si="5"/>
        <v>0</v>
      </c>
      <c r="K26" s="181">
        <f t="shared" si="6"/>
        <v>0</v>
      </c>
      <c r="L26" s="180">
        <f>SUM(L21:L25)</f>
        <v>0</v>
      </c>
      <c r="M26" s="180">
        <f>SUM(M21:M25)</f>
        <v>0</v>
      </c>
      <c r="N26" s="180">
        <f>SUM(N21:N25)</f>
        <v>0</v>
      </c>
      <c r="O26" s="180">
        <f>SUM(O21:O25)</f>
        <v>105</v>
      </c>
      <c r="P26" s="202"/>
    </row>
    <row r="27" spans="1:19" ht="13.5" thickBot="1" x14ac:dyDescent="0.25">
      <c r="A27" s="203"/>
      <c r="B27" s="203"/>
      <c r="C27" s="204" t="s">
        <v>702</v>
      </c>
      <c r="D27" s="205"/>
      <c r="E27" s="206">
        <f>E18+E26</f>
        <v>6983.22</v>
      </c>
      <c r="F27" s="206">
        <f>F18+F26</f>
        <v>7341.25</v>
      </c>
      <c r="G27" s="206">
        <f>G18+G26</f>
        <v>8339.01</v>
      </c>
      <c r="H27" s="206">
        <f>H18+H26</f>
        <v>8490</v>
      </c>
      <c r="I27" s="206">
        <f>I18+I26</f>
        <v>8490</v>
      </c>
      <c r="J27" s="206">
        <f>I27-H27</f>
        <v>0</v>
      </c>
      <c r="K27" s="207">
        <f>(I27-H27)/H27</f>
        <v>0</v>
      </c>
      <c r="L27" s="206">
        <f>L18+L26</f>
        <v>0</v>
      </c>
      <c r="M27" s="206">
        <f>M18+M26</f>
        <v>0</v>
      </c>
      <c r="N27" s="206">
        <f>N18+N26</f>
        <v>0</v>
      </c>
      <c r="O27" s="206">
        <f>O18+O26</f>
        <v>105</v>
      </c>
      <c r="P27" s="208"/>
    </row>
    <row r="28" spans="1:19" x14ac:dyDescent="0.2">
      <c r="A28" s="203"/>
      <c r="B28" s="203"/>
      <c r="C28" s="209" t="s">
        <v>698</v>
      </c>
      <c r="D28" s="210"/>
      <c r="E28" s="211"/>
      <c r="F28" s="211"/>
      <c r="G28" s="211"/>
      <c r="H28" s="212">
        <v>0</v>
      </c>
      <c r="I28" s="213"/>
      <c r="J28" s="213"/>
      <c r="K28" s="214"/>
      <c r="L28" s="213"/>
      <c r="M28" s="213"/>
      <c r="N28" s="213"/>
      <c r="O28" s="213"/>
      <c r="P28" s="215"/>
    </row>
    <row r="29" spans="1:19" x14ac:dyDescent="0.2">
      <c r="A29" s="203"/>
      <c r="B29" s="203"/>
      <c r="C29" s="183" t="s">
        <v>699</v>
      </c>
      <c r="D29" s="184"/>
      <c r="E29" s="216"/>
      <c r="F29" s="216"/>
      <c r="G29" s="216"/>
      <c r="H29" s="185">
        <v>8150</v>
      </c>
      <c r="I29" s="217"/>
      <c r="J29" s="217"/>
      <c r="K29" s="218"/>
      <c r="L29" s="217"/>
      <c r="M29" s="217"/>
      <c r="N29" s="217"/>
      <c r="O29" s="217"/>
      <c r="P29" s="219"/>
    </row>
    <row r="30" spans="1:19" x14ac:dyDescent="0.2">
      <c r="A30" s="203"/>
      <c r="B30" s="203"/>
      <c r="C30" s="183" t="s">
        <v>700</v>
      </c>
      <c r="D30" s="184"/>
      <c r="E30" s="216"/>
      <c r="F30" s="216"/>
      <c r="G30" s="216"/>
      <c r="H30" s="220">
        <f>H28-H10</f>
        <v>0</v>
      </c>
      <c r="I30" s="217"/>
      <c r="J30" s="217"/>
      <c r="K30" s="218"/>
      <c r="L30" s="217"/>
      <c r="M30" s="217"/>
      <c r="N30" s="217"/>
      <c r="O30" s="217"/>
      <c r="P30" s="219"/>
    </row>
    <row r="31" spans="1:19" x14ac:dyDescent="0.2">
      <c r="A31" s="221"/>
      <c r="B31" s="221"/>
      <c r="C31" s="183" t="s">
        <v>701</v>
      </c>
      <c r="D31" s="184"/>
      <c r="E31" s="217"/>
      <c r="F31" s="217"/>
      <c r="G31" s="217"/>
      <c r="H31" s="220">
        <f>H29-H27</f>
        <v>-340</v>
      </c>
      <c r="I31" s="217"/>
      <c r="J31" s="217"/>
      <c r="K31" s="218"/>
      <c r="L31" s="217"/>
      <c r="M31" s="217"/>
      <c r="N31" s="217"/>
      <c r="O31" s="217"/>
      <c r="P31" s="219"/>
    </row>
    <row r="33" spans="1:15" s="157" customFormat="1" ht="27" customHeight="1" thickBot="1" x14ac:dyDescent="0.25">
      <c r="A33" s="158" t="s">
        <v>687</v>
      </c>
      <c r="B33" s="158" t="s">
        <v>687</v>
      </c>
      <c r="M33" s="406" t="s">
        <v>690</v>
      </c>
      <c r="N33" s="406"/>
      <c r="O33" s="406"/>
    </row>
    <row r="34" spans="1:15" s="157" customFormat="1" ht="51.75" thickBot="1" x14ac:dyDescent="0.25">
      <c r="A34" s="225"/>
      <c r="B34" s="225"/>
      <c r="C34" s="229" t="s">
        <v>633</v>
      </c>
      <c r="D34" s="249"/>
      <c r="E34" s="234" t="s">
        <v>749</v>
      </c>
      <c r="F34" s="234" t="s">
        <v>750</v>
      </c>
      <c r="G34" s="234" t="s">
        <v>751</v>
      </c>
      <c r="H34" s="294" t="s">
        <v>747</v>
      </c>
      <c r="I34" s="234" t="s">
        <v>748</v>
      </c>
      <c r="J34" s="234" t="s">
        <v>745</v>
      </c>
      <c r="K34" s="295" t="s">
        <v>641</v>
      </c>
      <c r="M34" s="145"/>
      <c r="N34" s="145" t="s">
        <v>693</v>
      </c>
      <c r="O34" s="145" t="s">
        <v>694</v>
      </c>
    </row>
    <row r="35" spans="1:15" s="157" customFormat="1" x14ac:dyDescent="0.2">
      <c r="A35" s="225"/>
      <c r="B35" s="225"/>
      <c r="C35" s="194" t="s">
        <v>688</v>
      </c>
      <c r="D35" s="195"/>
      <c r="E35" s="226"/>
      <c r="F35" s="226"/>
      <c r="G35" s="226"/>
      <c r="H35" s="226"/>
      <c r="I35" s="226"/>
      <c r="J35" s="227">
        <f>I35-H35</f>
        <v>0</v>
      </c>
      <c r="K35" s="228" t="e">
        <f>(I35-H35)/H35</f>
        <v>#DIV/0!</v>
      </c>
      <c r="M35" s="146" t="s">
        <v>691</v>
      </c>
      <c r="N35" s="146"/>
      <c r="O35" s="146"/>
    </row>
    <row r="36" spans="1:15" s="157" customFormat="1" x14ac:dyDescent="0.2">
      <c r="M36" s="146" t="s">
        <v>692</v>
      </c>
      <c r="N36" s="146"/>
      <c r="O36" s="146"/>
    </row>
    <row r="37" spans="1:15" s="157" customFormat="1" x14ac:dyDescent="0.2">
      <c r="M37" s="146" t="s">
        <v>23</v>
      </c>
      <c r="N37" s="146">
        <f>SUM(N35:N36)</f>
        <v>0</v>
      </c>
      <c r="O37" s="146">
        <f>SUM(O35:O36)</f>
        <v>0</v>
      </c>
    </row>
    <row r="38" spans="1:15" s="157" customFormat="1" x14ac:dyDescent="0.2"/>
    <row r="39" spans="1:15" s="157" customFormat="1" x14ac:dyDescent="0.2"/>
    <row r="40" spans="1:15" s="157" customFormat="1" x14ac:dyDescent="0.2"/>
  </sheetData>
  <mergeCells count="2">
    <mergeCell ref="L3:N3"/>
    <mergeCell ref="M33:O33"/>
  </mergeCells>
  <pageMargins left="0.25" right="0.25" top="0.67708333333333304" bottom="0.35416666666666702" header="0.3" footer="0.3"/>
  <pageSetup paperSize="5" scale="58" orientation="landscape" r:id="rId1"/>
  <headerFooter>
    <oddHeader>&amp;C&amp;"Calibri,Bold"&amp;A</oddHeader>
    <oddFooter>&amp;Rprinted:  &amp;D&amp;T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9"/>
  <sheetViews>
    <sheetView showGridLines="0" zoomScaleNormal="100" workbookViewId="0">
      <selection activeCell="H6" sqref="H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836</v>
      </c>
      <c r="O1" s="164"/>
    </row>
    <row r="2" spans="1:19" ht="23.25" customHeight="1" thickBot="1" x14ac:dyDescent="0.3">
      <c r="A2" s="290" t="s">
        <v>810</v>
      </c>
      <c r="B2" s="232"/>
      <c r="C2" s="292" t="s">
        <v>837</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38.25" x14ac:dyDescent="0.2">
      <c r="A6" s="169" t="s">
        <v>813</v>
      </c>
      <c r="B6" s="169">
        <v>601000</v>
      </c>
      <c r="C6" s="146" t="s">
        <v>685</v>
      </c>
      <c r="D6" s="170"/>
      <c r="E6" s="171">
        <f>105029.15</f>
        <v>105029.15</v>
      </c>
      <c r="F6" s="171">
        <f>105536.92</f>
        <v>105536.92</v>
      </c>
      <c r="G6" s="171">
        <f>108216.78</f>
        <v>108216.78</v>
      </c>
      <c r="H6" s="171">
        <f>SUM('FT Salaries'!E29)</f>
        <v>108352</v>
      </c>
      <c r="I6" s="172">
        <f>SUM(H6)</f>
        <v>108352</v>
      </c>
      <c r="J6" s="173">
        <f>I6-H6</f>
        <v>0</v>
      </c>
      <c r="K6" s="174">
        <f>(I6-H6)/H6</f>
        <v>0</v>
      </c>
      <c r="L6" s="172"/>
      <c r="M6" s="175">
        <f>37921+28418</f>
        <v>66339</v>
      </c>
      <c r="N6" s="175"/>
      <c r="O6" s="175"/>
      <c r="P6" s="147" t="s">
        <v>1091</v>
      </c>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105029.15</v>
      </c>
      <c r="F8" s="179">
        <f>SUM(F6:F7)</f>
        <v>105536.92</v>
      </c>
      <c r="G8" s="179">
        <f>SUM(G6:G7)</f>
        <v>108216.78</v>
      </c>
      <c r="H8" s="179">
        <f>SUM(H6:H7)</f>
        <v>108352</v>
      </c>
      <c r="I8" s="179">
        <f>SUM(I6:I7)</f>
        <v>108352</v>
      </c>
      <c r="J8" s="180">
        <f>I8-H8</f>
        <v>0</v>
      </c>
      <c r="K8" s="181">
        <f>(I8-H8)/H8</f>
        <v>0</v>
      </c>
      <c r="L8" s="179">
        <f>SUM(L6:L7)</f>
        <v>0</v>
      </c>
      <c r="M8" s="179">
        <f t="shared" ref="M8:O8" si="0">SUM(M6:M7)</f>
        <v>66339</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v>612110</v>
      </c>
      <c r="B10" s="169">
        <v>601302</v>
      </c>
      <c r="C10" s="146" t="s">
        <v>600</v>
      </c>
      <c r="D10" s="170"/>
      <c r="E10" s="171">
        <v>45547.77</v>
      </c>
      <c r="F10" s="171">
        <v>52458.94</v>
      </c>
      <c r="G10" s="171">
        <v>17619.740000000002</v>
      </c>
      <c r="H10" s="171"/>
      <c r="I10" s="172"/>
      <c r="J10" s="173">
        <f t="shared" ref="J10:J17"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c r="F12" s="171"/>
      <c r="G12" s="171">
        <v>37474.76</v>
      </c>
      <c r="H12" s="171">
        <v>51645</v>
      </c>
      <c r="I12" s="172">
        <v>25600</v>
      </c>
      <c r="J12" s="173">
        <f t="shared" si="1"/>
        <v>-26045</v>
      </c>
      <c r="K12" s="174">
        <f t="shared" ref="K12:K17" si="2">(I12-H12)/H12</f>
        <v>-0.50430825830186854</v>
      </c>
      <c r="L12" s="172"/>
      <c r="M12" s="175"/>
      <c r="N12" s="175"/>
      <c r="O12" s="175"/>
      <c r="P12" s="147" t="s">
        <v>1090</v>
      </c>
      <c r="Q12" s="157"/>
      <c r="R12" s="157"/>
      <c r="S12" s="157"/>
    </row>
    <row r="13" spans="1:19" x14ac:dyDescent="0.2">
      <c r="A13" s="169" t="s">
        <v>580</v>
      </c>
      <c r="B13" s="318">
        <v>601305</v>
      </c>
      <c r="C13" s="146" t="s">
        <v>579</v>
      </c>
      <c r="D13" s="170"/>
      <c r="E13" s="171">
        <v>9319.81</v>
      </c>
      <c r="F13" s="171">
        <v>10026.69</v>
      </c>
      <c r="G13" s="171">
        <v>9150.61</v>
      </c>
      <c r="H13" s="171">
        <v>10600</v>
      </c>
      <c r="I13" s="172">
        <v>10600</v>
      </c>
      <c r="J13" s="173">
        <f t="shared" si="1"/>
        <v>0</v>
      </c>
      <c r="K13" s="174">
        <f t="shared" si="2"/>
        <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222"/>
      <c r="B17" s="222"/>
      <c r="C17" s="183" t="s">
        <v>704</v>
      </c>
      <c r="D17" s="184"/>
      <c r="E17" s="185">
        <f>SUM(E12:E16)</f>
        <v>9319.81</v>
      </c>
      <c r="F17" s="185">
        <f>SUM(F12:F16)</f>
        <v>10026.69</v>
      </c>
      <c r="G17" s="185">
        <f>SUM(G12:G16)</f>
        <v>46625.37</v>
      </c>
      <c r="H17" s="185">
        <f>SUM(H12:H16)</f>
        <v>62245</v>
      </c>
      <c r="I17" s="185">
        <f>SUM(I12:I16)</f>
        <v>36200</v>
      </c>
      <c r="J17" s="185">
        <f t="shared" si="1"/>
        <v>-26045</v>
      </c>
      <c r="K17" s="186">
        <f t="shared" si="2"/>
        <v>-0.41842718290625752</v>
      </c>
      <c r="L17" s="185">
        <f>SUM(L12:L16)</f>
        <v>0</v>
      </c>
      <c r="M17" s="185">
        <f>SUM(M12:M16)</f>
        <v>0</v>
      </c>
      <c r="N17" s="185">
        <f>SUM(N12:N16)</f>
        <v>0</v>
      </c>
      <c r="O17" s="185">
        <f>SUM(O12:O16)</f>
        <v>0</v>
      </c>
      <c r="P17" s="187"/>
      <c r="Q17" s="157"/>
      <c r="R17" s="157"/>
      <c r="S17" s="157"/>
    </row>
    <row r="18" spans="1:19" ht="7.5" customHeight="1" thickBot="1" x14ac:dyDescent="0.25">
      <c r="A18" s="188"/>
      <c r="B18" s="188"/>
      <c r="C18" s="189"/>
      <c r="D18" s="190"/>
      <c r="E18" s="189"/>
      <c r="F18" s="189"/>
      <c r="G18" s="189"/>
      <c r="H18" s="189"/>
      <c r="I18" s="191"/>
      <c r="J18" s="191"/>
      <c r="K18" s="191"/>
      <c r="L18" s="191"/>
      <c r="M18" s="191"/>
      <c r="N18" s="191"/>
      <c r="O18" s="191"/>
      <c r="P18" s="192"/>
      <c r="Q18" s="157"/>
      <c r="R18" s="157"/>
      <c r="S18" s="157"/>
    </row>
    <row r="19" spans="1:19" s="157" customFormat="1" ht="51.75" thickBot="1" x14ac:dyDescent="0.25">
      <c r="A19" s="293" t="s">
        <v>811</v>
      </c>
      <c r="B19" s="316" t="s">
        <v>812</v>
      </c>
      <c r="C19" s="229" t="s">
        <v>633</v>
      </c>
      <c r="D19" s="249"/>
      <c r="E19" s="295" t="s">
        <v>749</v>
      </c>
      <c r="F19" s="234" t="s">
        <v>750</v>
      </c>
      <c r="G19" s="234" t="s">
        <v>751</v>
      </c>
      <c r="H19" s="294" t="s">
        <v>747</v>
      </c>
      <c r="I19" s="234" t="s">
        <v>748</v>
      </c>
      <c r="J19" s="234" t="s">
        <v>745</v>
      </c>
      <c r="K19" s="295" t="s">
        <v>641</v>
      </c>
      <c r="L19" s="231" t="s">
        <v>642</v>
      </c>
      <c r="M19" s="231" t="s">
        <v>643</v>
      </c>
      <c r="N19" s="230" t="s">
        <v>644</v>
      </c>
      <c r="O19" s="294" t="s">
        <v>746</v>
      </c>
      <c r="P19" s="168" t="s">
        <v>969</v>
      </c>
    </row>
    <row r="20" spans="1:19" ht="31.5" customHeight="1" x14ac:dyDescent="0.2">
      <c r="A20" s="193" t="s">
        <v>432</v>
      </c>
      <c r="B20" s="318">
        <v>702106</v>
      </c>
      <c r="C20" s="194" t="s">
        <v>431</v>
      </c>
      <c r="D20" s="195"/>
      <c r="E20" s="196">
        <v>3424</v>
      </c>
      <c r="F20" s="196">
        <v>0</v>
      </c>
      <c r="G20" s="196"/>
      <c r="H20" s="196"/>
      <c r="I20" s="196"/>
      <c r="J20" s="197">
        <f t="shared" ref="J20:J35" si="3">I20-H20</f>
        <v>0</v>
      </c>
      <c r="K20" s="198" t="e">
        <f t="shared" ref="K20:K35" si="4">(I20-H20)/H20</f>
        <v>#DIV/0!</v>
      </c>
      <c r="L20" s="196"/>
      <c r="M20" s="196"/>
      <c r="N20" s="196"/>
      <c r="O20" s="196"/>
      <c r="P20" s="199"/>
    </row>
    <row r="21" spans="1:19" ht="31.5" customHeight="1" x14ac:dyDescent="0.2">
      <c r="A21" s="193" t="s">
        <v>416</v>
      </c>
      <c r="B21" s="318">
        <v>702200</v>
      </c>
      <c r="C21" s="194" t="s">
        <v>11</v>
      </c>
      <c r="D21" s="195"/>
      <c r="E21" s="196">
        <v>5011.3900000000003</v>
      </c>
      <c r="F21" s="196">
        <v>6219.66</v>
      </c>
      <c r="G21" s="196">
        <v>5502.53</v>
      </c>
      <c r="H21" s="196">
        <v>6943</v>
      </c>
      <c r="I21" s="196">
        <v>7202</v>
      </c>
      <c r="J21" s="197">
        <f t="shared" si="3"/>
        <v>259</v>
      </c>
      <c r="K21" s="198">
        <f t="shared" si="4"/>
        <v>3.730375918190984E-2</v>
      </c>
      <c r="L21" s="196"/>
      <c r="M21" s="196"/>
      <c r="N21" s="196"/>
      <c r="O21" s="196">
        <v>268</v>
      </c>
      <c r="P21" s="199"/>
    </row>
    <row r="22" spans="1:19" ht="31.5" customHeight="1" x14ac:dyDescent="0.2">
      <c r="A22" s="193" t="s">
        <v>407</v>
      </c>
      <c r="B22" s="318">
        <v>701001</v>
      </c>
      <c r="C22" s="194" t="s">
        <v>406</v>
      </c>
      <c r="D22" s="195"/>
      <c r="E22" s="196">
        <v>395</v>
      </c>
      <c r="F22" s="196"/>
      <c r="G22" s="196"/>
      <c r="H22" s="196"/>
      <c r="I22" s="196"/>
      <c r="J22" s="197">
        <f t="shared" si="3"/>
        <v>0</v>
      </c>
      <c r="K22" s="198" t="e">
        <f t="shared" si="4"/>
        <v>#DIV/0!</v>
      </c>
      <c r="L22" s="196"/>
      <c r="M22" s="196"/>
      <c r="N22" s="196"/>
      <c r="O22" s="196"/>
      <c r="P22" s="199"/>
    </row>
    <row r="23" spans="1:19" ht="31.5" customHeight="1" x14ac:dyDescent="0.2">
      <c r="A23" s="193" t="s">
        <v>377</v>
      </c>
      <c r="B23" s="318">
        <v>701500</v>
      </c>
      <c r="C23" s="194" t="s">
        <v>376</v>
      </c>
      <c r="D23" s="195"/>
      <c r="E23" s="196">
        <v>135</v>
      </c>
      <c r="F23" s="196">
        <v>135</v>
      </c>
      <c r="G23" s="196">
        <v>135</v>
      </c>
      <c r="H23" s="196">
        <v>135</v>
      </c>
      <c r="I23" s="196">
        <v>135</v>
      </c>
      <c r="J23" s="197">
        <f t="shared" si="3"/>
        <v>0</v>
      </c>
      <c r="K23" s="198">
        <f t="shared" si="4"/>
        <v>0</v>
      </c>
      <c r="L23" s="196"/>
      <c r="M23" s="196"/>
      <c r="N23" s="196"/>
      <c r="O23" s="196"/>
      <c r="P23" s="199"/>
    </row>
    <row r="24" spans="1:19" ht="31.5" customHeight="1" x14ac:dyDescent="0.2">
      <c r="A24" s="193" t="s">
        <v>375</v>
      </c>
      <c r="B24" s="318">
        <v>701501</v>
      </c>
      <c r="C24" s="194" t="s">
        <v>374</v>
      </c>
      <c r="D24" s="195"/>
      <c r="E24" s="196">
        <v>121.08</v>
      </c>
      <c r="F24" s="196">
        <v>121.08</v>
      </c>
      <c r="G24" s="196">
        <v>121.08</v>
      </c>
      <c r="H24" s="196">
        <v>121</v>
      </c>
      <c r="I24" s="196">
        <v>121</v>
      </c>
      <c r="J24" s="197">
        <f t="shared" si="3"/>
        <v>0</v>
      </c>
      <c r="K24" s="198">
        <f t="shared" si="4"/>
        <v>0</v>
      </c>
      <c r="L24" s="196"/>
      <c r="M24" s="196"/>
      <c r="N24" s="196"/>
      <c r="O24" s="196"/>
      <c r="P24" s="199"/>
    </row>
    <row r="25" spans="1:19" ht="31.5" customHeight="1" x14ac:dyDescent="0.2">
      <c r="A25" s="193" t="s">
        <v>349</v>
      </c>
      <c r="B25" s="318">
        <v>705100</v>
      </c>
      <c r="C25" s="194" t="s">
        <v>348</v>
      </c>
      <c r="D25" s="195"/>
      <c r="E25" s="196">
        <v>593.98</v>
      </c>
      <c r="F25" s="196">
        <v>283.25</v>
      </c>
      <c r="G25" s="196"/>
      <c r="H25" s="196"/>
      <c r="I25" s="196"/>
      <c r="J25" s="197">
        <f t="shared" si="3"/>
        <v>0</v>
      </c>
      <c r="K25" s="198" t="e">
        <f t="shared" si="4"/>
        <v>#DIV/0!</v>
      </c>
      <c r="L25" s="196"/>
      <c r="M25" s="196"/>
      <c r="N25" s="196"/>
      <c r="O25" s="196"/>
      <c r="P25" s="199"/>
    </row>
    <row r="26" spans="1:19" ht="31.5" customHeight="1" x14ac:dyDescent="0.2">
      <c r="A26" s="193" t="s">
        <v>276</v>
      </c>
      <c r="B26" s="319">
        <v>706605</v>
      </c>
      <c r="C26" s="194" t="s">
        <v>275</v>
      </c>
      <c r="D26" s="195"/>
      <c r="E26" s="196">
        <v>820</v>
      </c>
      <c r="F26" s="196">
        <v>1535</v>
      </c>
      <c r="G26" s="196">
        <v>850</v>
      </c>
      <c r="H26" s="196">
        <v>1200</v>
      </c>
      <c r="I26" s="196">
        <v>1200</v>
      </c>
      <c r="J26" s="197">
        <f t="shared" si="3"/>
        <v>0</v>
      </c>
      <c r="K26" s="198">
        <f t="shared" si="4"/>
        <v>0</v>
      </c>
      <c r="L26" s="196"/>
      <c r="M26" s="196"/>
      <c r="N26" s="196"/>
      <c r="O26" s="196"/>
      <c r="P26" s="199"/>
    </row>
    <row r="27" spans="1:19" ht="31.5" customHeight="1" x14ac:dyDescent="0.2">
      <c r="A27" s="193" t="s">
        <v>230</v>
      </c>
      <c r="B27" s="318">
        <v>707151</v>
      </c>
      <c r="C27" s="194" t="s">
        <v>15</v>
      </c>
      <c r="D27" s="195"/>
      <c r="E27" s="196">
        <v>169.9</v>
      </c>
      <c r="F27" s="196">
        <v>244.92000000000002</v>
      </c>
      <c r="G27" s="196">
        <v>270</v>
      </c>
      <c r="H27" s="196">
        <f>22.5*12</f>
        <v>270</v>
      </c>
      <c r="I27" s="196">
        <v>270</v>
      </c>
      <c r="J27" s="197">
        <f t="shared" si="3"/>
        <v>0</v>
      </c>
      <c r="K27" s="198">
        <f t="shared" si="4"/>
        <v>0</v>
      </c>
      <c r="L27" s="196"/>
      <c r="M27" s="196"/>
      <c r="N27" s="196"/>
      <c r="O27" s="196"/>
      <c r="P27" s="199"/>
    </row>
    <row r="28" spans="1:19" ht="31.5" customHeight="1" x14ac:dyDescent="0.2">
      <c r="A28" s="193" t="s">
        <v>229</v>
      </c>
      <c r="B28" s="318">
        <v>707151</v>
      </c>
      <c r="C28" s="194" t="s">
        <v>16</v>
      </c>
      <c r="D28" s="195"/>
      <c r="E28" s="196">
        <v>3.7600000000000002</v>
      </c>
      <c r="F28" s="196">
        <v>4.74</v>
      </c>
      <c r="G28" s="196">
        <v>3.12</v>
      </c>
      <c r="H28" s="196">
        <v>5</v>
      </c>
      <c r="I28" s="196">
        <v>5</v>
      </c>
      <c r="J28" s="197">
        <f t="shared" si="3"/>
        <v>0</v>
      </c>
      <c r="K28" s="198">
        <f t="shared" si="4"/>
        <v>0</v>
      </c>
      <c r="L28" s="196"/>
      <c r="M28" s="196"/>
      <c r="N28" s="196"/>
      <c r="O28" s="196"/>
      <c r="P28" s="199"/>
    </row>
    <row r="29" spans="1:19" ht="31.5" customHeight="1" x14ac:dyDescent="0.2">
      <c r="A29" s="193" t="s">
        <v>211</v>
      </c>
      <c r="B29" s="318">
        <v>707502</v>
      </c>
      <c r="C29" s="194" t="s">
        <v>210</v>
      </c>
      <c r="D29" s="195"/>
      <c r="E29" s="196">
        <v>449.99</v>
      </c>
      <c r="F29" s="196"/>
      <c r="G29" s="196"/>
      <c r="H29" s="196"/>
      <c r="I29" s="196"/>
      <c r="J29" s="197">
        <f t="shared" si="3"/>
        <v>0</v>
      </c>
      <c r="K29" s="198" t="e">
        <f t="shared" si="4"/>
        <v>#DIV/0!</v>
      </c>
      <c r="L29" s="196"/>
      <c r="M29" s="196"/>
      <c r="N29" s="196"/>
      <c r="O29" s="196"/>
      <c r="P29" s="199"/>
    </row>
    <row r="30" spans="1:19" ht="31.5" customHeight="1" x14ac:dyDescent="0.2">
      <c r="A30" s="193" t="s">
        <v>196</v>
      </c>
      <c r="B30" s="318">
        <v>707309</v>
      </c>
      <c r="C30" s="194" t="s">
        <v>19</v>
      </c>
      <c r="D30" s="195"/>
      <c r="E30" s="196"/>
      <c r="F30" s="196"/>
      <c r="G30" s="196">
        <v>1677.45</v>
      </c>
      <c r="H30" s="196"/>
      <c r="I30" s="196"/>
      <c r="J30" s="197">
        <f t="shared" si="3"/>
        <v>0</v>
      </c>
      <c r="K30" s="198" t="e">
        <f t="shared" si="4"/>
        <v>#DIV/0!</v>
      </c>
      <c r="L30" s="196"/>
      <c r="M30" s="196"/>
      <c r="N30" s="196"/>
      <c r="O30" s="196"/>
      <c r="P30" s="199"/>
    </row>
    <row r="31" spans="1:19" ht="31.5" customHeight="1" x14ac:dyDescent="0.2">
      <c r="A31" s="193" t="s">
        <v>101</v>
      </c>
      <c r="B31" s="318">
        <v>708060</v>
      </c>
      <c r="C31" s="194" t="s">
        <v>100</v>
      </c>
      <c r="D31" s="195"/>
      <c r="E31" s="196"/>
      <c r="F31" s="196"/>
      <c r="G31" s="196">
        <v>459.96000000000004</v>
      </c>
      <c r="H31" s="196"/>
      <c r="I31" s="196"/>
      <c r="J31" s="197">
        <f t="shared" si="3"/>
        <v>0</v>
      </c>
      <c r="K31" s="198" t="e">
        <f t="shared" si="4"/>
        <v>#DIV/0!</v>
      </c>
      <c r="L31" s="196"/>
      <c r="M31" s="196"/>
      <c r="N31" s="196"/>
      <c r="O31" s="196"/>
      <c r="P31" s="199"/>
    </row>
    <row r="32" spans="1:19" ht="31.5" customHeight="1" x14ac:dyDescent="0.2">
      <c r="A32" s="193"/>
      <c r="B32" s="193"/>
      <c r="C32" s="194"/>
      <c r="D32" s="195"/>
      <c r="E32" s="196"/>
      <c r="F32" s="196"/>
      <c r="G32" s="196"/>
      <c r="H32" s="196"/>
      <c r="I32" s="196"/>
      <c r="J32" s="197">
        <f t="shared" si="3"/>
        <v>0</v>
      </c>
      <c r="K32" s="198" t="e">
        <f t="shared" si="4"/>
        <v>#DIV/0!</v>
      </c>
      <c r="L32" s="196"/>
      <c r="M32" s="196"/>
      <c r="N32" s="196"/>
      <c r="O32" s="196"/>
      <c r="P32" s="199"/>
    </row>
    <row r="33" spans="1:16" ht="31.5" customHeight="1" x14ac:dyDescent="0.2">
      <c r="A33" s="193"/>
      <c r="B33" s="193"/>
      <c r="C33" s="194"/>
      <c r="D33" s="195"/>
      <c r="E33" s="196"/>
      <c r="F33" s="196"/>
      <c r="G33" s="196"/>
      <c r="H33" s="196"/>
      <c r="I33" s="196"/>
      <c r="J33" s="197">
        <f t="shared" si="3"/>
        <v>0</v>
      </c>
      <c r="K33" s="198" t="e">
        <f t="shared" si="4"/>
        <v>#DIV/0!</v>
      </c>
      <c r="L33" s="196"/>
      <c r="M33" s="196"/>
      <c r="N33" s="196"/>
      <c r="O33" s="196"/>
      <c r="P33" s="199"/>
    </row>
    <row r="34" spans="1:16" ht="31.5" customHeight="1" x14ac:dyDescent="0.2">
      <c r="A34" s="193"/>
      <c r="B34" s="193"/>
      <c r="C34" s="194"/>
      <c r="D34" s="195"/>
      <c r="E34" s="196"/>
      <c r="F34" s="196"/>
      <c r="G34" s="196"/>
      <c r="H34" s="196"/>
      <c r="I34" s="196"/>
      <c r="J34" s="197">
        <f t="shared" si="3"/>
        <v>0</v>
      </c>
      <c r="K34" s="198" t="e">
        <f t="shared" si="4"/>
        <v>#DIV/0!</v>
      </c>
      <c r="L34" s="196"/>
      <c r="M34" s="196"/>
      <c r="N34" s="196"/>
      <c r="O34" s="196"/>
      <c r="P34" s="199"/>
    </row>
    <row r="35" spans="1:16" ht="13.5" thickBot="1" x14ac:dyDescent="0.25">
      <c r="A35" s="200"/>
      <c r="B35" s="200"/>
      <c r="C35" s="177" t="s">
        <v>22</v>
      </c>
      <c r="D35" s="201"/>
      <c r="E35" s="180">
        <f>SUM(E20:E34)</f>
        <v>11124.099999999999</v>
      </c>
      <c r="F35" s="180">
        <f>SUM(F20:F34)</f>
        <v>8543.65</v>
      </c>
      <c r="G35" s="180">
        <f>SUM(G20:G34)</f>
        <v>9019.14</v>
      </c>
      <c r="H35" s="180">
        <f>SUM(H20:H34)</f>
        <v>8674</v>
      </c>
      <c r="I35" s="180">
        <f>SUM(I20:I34)</f>
        <v>8933</v>
      </c>
      <c r="J35" s="180">
        <f t="shared" si="3"/>
        <v>259</v>
      </c>
      <c r="K35" s="181">
        <f t="shared" si="4"/>
        <v>2.9859349780954576E-2</v>
      </c>
      <c r="L35" s="180">
        <f>SUM(L20:L34)</f>
        <v>0</v>
      </c>
      <c r="M35" s="180">
        <f>SUM(M20:M34)</f>
        <v>0</v>
      </c>
      <c r="N35" s="180">
        <f>SUM(N20:N34)</f>
        <v>0</v>
      </c>
      <c r="O35" s="180">
        <f>SUM(O20:O34)</f>
        <v>268</v>
      </c>
      <c r="P35" s="202"/>
    </row>
    <row r="36" spans="1:16" ht="13.5" thickBot="1" x14ac:dyDescent="0.25">
      <c r="A36" s="203"/>
      <c r="B36" s="203"/>
      <c r="C36" s="204" t="s">
        <v>702</v>
      </c>
      <c r="D36" s="205"/>
      <c r="E36" s="206">
        <f>E17+E35</f>
        <v>20443.909999999996</v>
      </c>
      <c r="F36" s="206">
        <f>F17+F35</f>
        <v>18570.34</v>
      </c>
      <c r="G36" s="206">
        <f>G17+G35</f>
        <v>55644.51</v>
      </c>
      <c r="H36" s="206">
        <f>H17+H35</f>
        <v>70919</v>
      </c>
      <c r="I36" s="206">
        <f>I17+I35</f>
        <v>45133</v>
      </c>
      <c r="J36" s="206">
        <f>I36-H36</f>
        <v>-25786</v>
      </c>
      <c r="K36" s="207">
        <f>(I36-H36)/H36</f>
        <v>-0.36359790747190457</v>
      </c>
      <c r="L36" s="206">
        <f>L17+L35</f>
        <v>0</v>
      </c>
      <c r="M36" s="206">
        <f>M17+M35</f>
        <v>0</v>
      </c>
      <c r="N36" s="206">
        <f>N17+N35</f>
        <v>0</v>
      </c>
      <c r="O36" s="206">
        <f>O17+O35</f>
        <v>268</v>
      </c>
      <c r="P36" s="208"/>
    </row>
    <row r="37" spans="1:16" x14ac:dyDescent="0.2">
      <c r="A37" s="203"/>
      <c r="B37" s="203"/>
      <c r="C37" s="209" t="s">
        <v>698</v>
      </c>
      <c r="D37" s="210"/>
      <c r="E37" s="211"/>
      <c r="F37" s="211"/>
      <c r="G37" s="211"/>
      <c r="H37" s="212">
        <v>0</v>
      </c>
      <c r="I37" s="213"/>
      <c r="J37" s="213"/>
      <c r="K37" s="214"/>
      <c r="L37" s="213"/>
      <c r="M37" s="213"/>
      <c r="N37" s="213"/>
      <c r="O37" s="213"/>
      <c r="P37" s="215"/>
    </row>
    <row r="38" spans="1:16" x14ac:dyDescent="0.2">
      <c r="A38" s="203"/>
      <c r="B38" s="203"/>
      <c r="C38" s="183" t="s">
        <v>699</v>
      </c>
      <c r="D38" s="184"/>
      <c r="E38" s="216"/>
      <c r="F38" s="216"/>
      <c r="G38" s="216"/>
      <c r="H38" s="185">
        <v>71185</v>
      </c>
      <c r="I38" s="217"/>
      <c r="J38" s="217"/>
      <c r="K38" s="218"/>
      <c r="L38" s="217"/>
      <c r="M38" s="217"/>
      <c r="N38" s="217"/>
      <c r="O38" s="217"/>
      <c r="P38" s="219"/>
    </row>
    <row r="39" spans="1:16" x14ac:dyDescent="0.2">
      <c r="A39" s="203"/>
      <c r="B39" s="203"/>
      <c r="C39" s="183" t="s">
        <v>700</v>
      </c>
      <c r="D39" s="184"/>
      <c r="E39" s="216"/>
      <c r="F39" s="216"/>
      <c r="G39" s="216"/>
      <c r="H39" s="220">
        <f>H37-H10</f>
        <v>0</v>
      </c>
      <c r="I39" s="217"/>
      <c r="J39" s="217"/>
      <c r="K39" s="218"/>
      <c r="L39" s="217"/>
      <c r="M39" s="217"/>
      <c r="N39" s="217"/>
      <c r="O39" s="217"/>
      <c r="P39" s="219"/>
    </row>
    <row r="40" spans="1:16" x14ac:dyDescent="0.2">
      <c r="A40" s="221"/>
      <c r="B40" s="221"/>
      <c r="C40" s="183" t="s">
        <v>701</v>
      </c>
      <c r="D40" s="184"/>
      <c r="E40" s="217"/>
      <c r="F40" s="217"/>
      <c r="G40" s="217"/>
      <c r="H40" s="220">
        <f>H38-H36</f>
        <v>266</v>
      </c>
      <c r="I40" s="217"/>
      <c r="J40" s="217"/>
      <c r="K40" s="218"/>
      <c r="L40" s="217"/>
      <c r="M40" s="217"/>
      <c r="N40" s="217"/>
      <c r="O40" s="217"/>
      <c r="P40" s="219"/>
    </row>
    <row r="42" spans="1:16" s="157" customFormat="1" ht="27" customHeight="1" thickBot="1" x14ac:dyDescent="0.25">
      <c r="A42" s="158" t="s">
        <v>687</v>
      </c>
      <c r="B42" s="158" t="s">
        <v>687</v>
      </c>
      <c r="M42" s="406" t="s">
        <v>690</v>
      </c>
      <c r="N42" s="406"/>
      <c r="O42" s="406"/>
    </row>
    <row r="43" spans="1:16" s="157" customFormat="1" ht="51.75" thickBot="1" x14ac:dyDescent="0.25">
      <c r="A43" s="225"/>
      <c r="B43" s="225"/>
      <c r="C43" s="229" t="s">
        <v>633</v>
      </c>
      <c r="D43" s="249"/>
      <c r="E43" s="234" t="s">
        <v>749</v>
      </c>
      <c r="F43" s="234" t="s">
        <v>750</v>
      </c>
      <c r="G43" s="234" t="s">
        <v>751</v>
      </c>
      <c r="H43" s="294" t="s">
        <v>747</v>
      </c>
      <c r="I43" s="234" t="s">
        <v>748</v>
      </c>
      <c r="J43" s="234" t="s">
        <v>745</v>
      </c>
      <c r="K43" s="295" t="s">
        <v>641</v>
      </c>
      <c r="M43" s="145"/>
      <c r="N43" s="145" t="s">
        <v>693</v>
      </c>
      <c r="O43" s="145" t="s">
        <v>694</v>
      </c>
    </row>
    <row r="44" spans="1:16" s="157" customFormat="1" x14ac:dyDescent="0.2">
      <c r="A44" s="225"/>
      <c r="B44" s="225"/>
      <c r="C44" s="194" t="s">
        <v>688</v>
      </c>
      <c r="D44" s="195"/>
      <c r="E44" s="226"/>
      <c r="F44" s="226"/>
      <c r="G44" s="226"/>
      <c r="H44" s="226"/>
      <c r="I44" s="226"/>
      <c r="J44" s="227">
        <f>I44-H44</f>
        <v>0</v>
      </c>
      <c r="K44" s="228" t="e">
        <f>(I44-H44)/H44</f>
        <v>#DIV/0!</v>
      </c>
      <c r="M44" s="146" t="s">
        <v>691</v>
      </c>
      <c r="N44" s="146">
        <v>1</v>
      </c>
      <c r="O44" s="146">
        <v>0</v>
      </c>
    </row>
    <row r="45" spans="1:16" s="157" customFormat="1" x14ac:dyDescent="0.2">
      <c r="M45" s="146" t="s">
        <v>692</v>
      </c>
      <c r="N45" s="146"/>
      <c r="O45" s="146"/>
    </row>
    <row r="46" spans="1:16" s="157" customFormat="1" x14ac:dyDescent="0.2">
      <c r="M46" s="146" t="s">
        <v>23</v>
      </c>
      <c r="N46" s="146">
        <f>SUM(N44:N45)</f>
        <v>1</v>
      </c>
      <c r="O46" s="146">
        <f>SUM(O44:O45)</f>
        <v>0</v>
      </c>
    </row>
    <row r="47" spans="1:16" s="157" customFormat="1" x14ac:dyDescent="0.2"/>
    <row r="48" spans="1:16" s="157" customFormat="1" x14ac:dyDescent="0.2"/>
    <row r="49" s="157" customFormat="1" x14ac:dyDescent="0.2"/>
  </sheetData>
  <mergeCells count="2">
    <mergeCell ref="L3:N3"/>
    <mergeCell ref="M42:O42"/>
  </mergeCells>
  <pageMargins left="0.25" right="0.25" top="0.67708333333333304" bottom="0.35416666666666702" header="0.3" footer="0.3"/>
  <pageSetup paperSize="5" scale="51" orientation="landscape" r:id="rId1"/>
  <headerFooter>
    <oddHeader>&amp;C&amp;"Calibri,Bold"&amp;A</oddHeader>
    <oddFooter>&amp;Rprinted:  &amp;D&amp;T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0"/>
  <sheetViews>
    <sheetView showGridLines="0" zoomScaleNormal="100" workbookViewId="0">
      <selection activeCell="P21" sqref="P21"/>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7" width="11.28515625" style="156" bestFit="1" customWidth="1"/>
    <col min="8" max="8" width="12"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838</v>
      </c>
      <c r="O1" s="164"/>
    </row>
    <row r="2" spans="1:19" ht="23.25" customHeight="1" thickBot="1" x14ac:dyDescent="0.3">
      <c r="A2" s="290" t="s">
        <v>810</v>
      </c>
      <c r="B2" s="232"/>
      <c r="C2" s="292" t="s">
        <v>820</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c r="B6" s="169"/>
      <c r="C6" s="146"/>
      <c r="D6" s="170"/>
      <c r="E6" s="171"/>
      <c r="F6" s="171"/>
      <c r="G6" s="171"/>
      <c r="H6" s="171"/>
      <c r="I6" s="172"/>
      <c r="J6" s="173">
        <f>I6-H6</f>
        <v>0</v>
      </c>
      <c r="K6" s="174" t="e">
        <f>(I6-H6)/H6</f>
        <v>#DIV/0!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0</v>
      </c>
      <c r="F8" s="179">
        <f>SUM(F6:F7)</f>
        <v>0</v>
      </c>
      <c r="G8" s="179">
        <f>SUM(G6:G7)</f>
        <v>0</v>
      </c>
      <c r="H8" s="179">
        <f>SUM(H6:H7)</f>
        <v>0</v>
      </c>
      <c r="I8" s="179">
        <f>SUM(I6:I7)</f>
        <v>0</v>
      </c>
      <c r="J8" s="180">
        <f>I8-H8</f>
        <v>0</v>
      </c>
      <c r="K8" s="181" t="e">
        <f>(I8-H8)/H8</f>
        <v>#DIV/0!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c r="B12" s="169"/>
      <c r="C12" s="146"/>
      <c r="D12" s="170"/>
      <c r="E12" s="171"/>
      <c r="F12" s="171"/>
      <c r="G12" s="171"/>
      <c r="H12" s="171"/>
      <c r="I12" s="172"/>
      <c r="J12" s="173">
        <f t="shared" si="1"/>
        <v>0</v>
      </c>
      <c r="K12" s="174" t="e">
        <f t="shared" ref="K12:K18" si="2">(I12-H12)/H12</f>
        <v>#DIV/0!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0</v>
      </c>
      <c r="F18" s="185">
        <f t="shared" ref="F18:I18" si="3">SUM(F12:F17)</f>
        <v>0</v>
      </c>
      <c r="G18" s="185">
        <f t="shared" si="3"/>
        <v>0</v>
      </c>
      <c r="H18" s="185">
        <f t="shared" si="3"/>
        <v>0</v>
      </c>
      <c r="I18" s="185">
        <f t="shared" si="3"/>
        <v>0</v>
      </c>
      <c r="J18" s="185">
        <f t="shared" si="1"/>
        <v>0</v>
      </c>
      <c r="K18" s="186" t="e">
        <f t="shared" si="2"/>
        <v>#DIV/0!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444</v>
      </c>
      <c r="B21" s="319">
        <v>704500</v>
      </c>
      <c r="C21" s="194" t="s">
        <v>443</v>
      </c>
      <c r="D21" s="195"/>
      <c r="E21" s="196">
        <v>3488928.56</v>
      </c>
      <c r="F21" s="196">
        <v>3636556.14</v>
      </c>
      <c r="G21" s="196">
        <v>3735855.0700000003</v>
      </c>
      <c r="H21" s="196">
        <f>3160548+352496</f>
        <v>3513044</v>
      </c>
      <c r="I21" s="196">
        <f>SUM(H21)</f>
        <v>3513044</v>
      </c>
      <c r="J21" s="197">
        <f t="shared" ref="J21:J26" si="5">I21-H21</f>
        <v>0</v>
      </c>
      <c r="K21" s="198">
        <f t="shared" ref="K21:K26" si="6">(I21-H21)/H21</f>
        <v>0</v>
      </c>
      <c r="L21" s="196"/>
      <c r="M21" s="196"/>
      <c r="N21" s="196"/>
      <c r="O21" s="196">
        <v>40230</v>
      </c>
      <c r="P21" s="199"/>
    </row>
    <row r="22" spans="1:19" ht="31.5" customHeight="1" x14ac:dyDescent="0.2">
      <c r="A22" s="193" t="s">
        <v>416</v>
      </c>
      <c r="B22" s="318">
        <v>702200</v>
      </c>
      <c r="C22" s="194" t="s">
        <v>11</v>
      </c>
      <c r="D22" s="195"/>
      <c r="E22" s="196">
        <v>506.96000000000004</v>
      </c>
      <c r="F22" s="196">
        <v>0</v>
      </c>
      <c r="G22" s="196">
        <v>111.55</v>
      </c>
      <c r="H22" s="196"/>
      <c r="I22" s="196"/>
      <c r="J22" s="197">
        <f t="shared" si="5"/>
        <v>0</v>
      </c>
      <c r="K22" s="198" t="e">
        <f t="shared" si="6"/>
        <v>#DIV/0!</v>
      </c>
      <c r="L22" s="196"/>
      <c r="M22" s="196"/>
      <c r="N22" s="196"/>
      <c r="O22" s="196"/>
      <c r="P22" s="199"/>
    </row>
    <row r="23" spans="1:19" ht="31.5" customHeight="1" x14ac:dyDescent="0.2">
      <c r="A23" s="193"/>
      <c r="B23" s="193"/>
      <c r="C23" s="194"/>
      <c r="D23" s="195"/>
      <c r="E23" s="196"/>
      <c r="F23" s="196"/>
      <c r="G23" s="196"/>
      <c r="H23" s="196"/>
      <c r="I23" s="196"/>
      <c r="J23" s="197">
        <f t="shared" si="5"/>
        <v>0</v>
      </c>
      <c r="K23" s="198" t="e">
        <f t="shared" si="6"/>
        <v>#DIV/0!</v>
      </c>
      <c r="L23" s="196"/>
      <c r="M23" s="196"/>
      <c r="N23" s="196"/>
      <c r="O23" s="196"/>
      <c r="P23" s="199"/>
    </row>
    <row r="24" spans="1:19" ht="31.5" customHeight="1" x14ac:dyDescent="0.2">
      <c r="A24" s="193"/>
      <c r="B24" s="193"/>
      <c r="C24" s="194"/>
      <c r="D24" s="195"/>
      <c r="E24" s="196"/>
      <c r="F24" s="196"/>
      <c r="G24" s="196"/>
      <c r="H24" s="196"/>
      <c r="I24" s="196"/>
      <c r="J24" s="197">
        <f t="shared" si="5"/>
        <v>0</v>
      </c>
      <c r="K24" s="198" t="e">
        <f t="shared" si="6"/>
        <v>#DIV/0!</v>
      </c>
      <c r="L24" s="196"/>
      <c r="M24" s="196"/>
      <c r="N24" s="196"/>
      <c r="O24" s="196"/>
      <c r="P24" s="199"/>
    </row>
    <row r="25" spans="1:19" ht="31.5" customHeight="1" x14ac:dyDescent="0.2">
      <c r="A25" s="193"/>
      <c r="B25" s="193"/>
      <c r="C25" s="194"/>
      <c r="D25" s="195"/>
      <c r="E25" s="196"/>
      <c r="F25" s="196"/>
      <c r="G25" s="196"/>
      <c r="H25" s="196"/>
      <c r="I25" s="196"/>
      <c r="J25" s="197">
        <f t="shared" si="5"/>
        <v>0</v>
      </c>
      <c r="K25" s="198" t="e">
        <f t="shared" si="6"/>
        <v>#DIV/0!</v>
      </c>
      <c r="L25" s="196"/>
      <c r="M25" s="196"/>
      <c r="N25" s="196"/>
      <c r="O25" s="196"/>
      <c r="P25" s="199"/>
    </row>
    <row r="26" spans="1:19" ht="13.5" thickBot="1" x14ac:dyDescent="0.25">
      <c r="A26" s="200"/>
      <c r="B26" s="200"/>
      <c r="C26" s="177" t="s">
        <v>22</v>
      </c>
      <c r="D26" s="201"/>
      <c r="E26" s="180">
        <f>SUM(E21:E25)</f>
        <v>3489435.52</v>
      </c>
      <c r="F26" s="180">
        <f>SUM(F21:F25)</f>
        <v>3636556.14</v>
      </c>
      <c r="G26" s="180">
        <f>SUM(G21:G25)</f>
        <v>3735966.62</v>
      </c>
      <c r="H26" s="180">
        <f>SUM(H21:H25)</f>
        <v>3513044</v>
      </c>
      <c r="I26" s="180">
        <f>SUM(I21:I25)</f>
        <v>3513044</v>
      </c>
      <c r="J26" s="180">
        <f t="shared" si="5"/>
        <v>0</v>
      </c>
      <c r="K26" s="181">
        <f t="shared" si="6"/>
        <v>0</v>
      </c>
      <c r="L26" s="180">
        <f>SUM(L21:L25)</f>
        <v>0</v>
      </c>
      <c r="M26" s="180">
        <f>SUM(M21:M25)</f>
        <v>0</v>
      </c>
      <c r="N26" s="180">
        <f>SUM(N21:N25)</f>
        <v>0</v>
      </c>
      <c r="O26" s="180">
        <f>SUM(O21:O25)</f>
        <v>40230</v>
      </c>
      <c r="P26" s="202"/>
    </row>
    <row r="27" spans="1:19" ht="13.5" thickBot="1" x14ac:dyDescent="0.25">
      <c r="A27" s="203"/>
      <c r="B27" s="203"/>
      <c r="C27" s="204" t="s">
        <v>702</v>
      </c>
      <c r="D27" s="205"/>
      <c r="E27" s="206">
        <f>E18+E26</f>
        <v>3489435.52</v>
      </c>
      <c r="F27" s="206">
        <f>F18+F26</f>
        <v>3636556.14</v>
      </c>
      <c r="G27" s="206">
        <f>G18+G26</f>
        <v>3735966.62</v>
      </c>
      <c r="H27" s="206">
        <f>H18+H26</f>
        <v>3513044</v>
      </c>
      <c r="I27" s="206">
        <f>I18+I26</f>
        <v>3513044</v>
      </c>
      <c r="J27" s="206">
        <f>I27-H27</f>
        <v>0</v>
      </c>
      <c r="K27" s="207">
        <f>(I27-H27)/H27</f>
        <v>0</v>
      </c>
      <c r="L27" s="206">
        <f>L18+L26</f>
        <v>0</v>
      </c>
      <c r="M27" s="206">
        <f>M18+M26</f>
        <v>0</v>
      </c>
      <c r="N27" s="206">
        <f>N18+N26</f>
        <v>0</v>
      </c>
      <c r="O27" s="206">
        <f>O18+O26</f>
        <v>40230</v>
      </c>
      <c r="P27" s="208"/>
    </row>
    <row r="28" spans="1:19" x14ac:dyDescent="0.2">
      <c r="A28" s="203"/>
      <c r="B28" s="203"/>
      <c r="C28" s="209" t="s">
        <v>698</v>
      </c>
      <c r="D28" s="210"/>
      <c r="E28" s="211"/>
      <c r="F28" s="211"/>
      <c r="G28" s="211"/>
      <c r="H28" s="212">
        <v>0</v>
      </c>
      <c r="I28" s="213"/>
      <c r="J28" s="213"/>
      <c r="K28" s="214"/>
      <c r="L28" s="213"/>
      <c r="M28" s="213"/>
      <c r="N28" s="213"/>
      <c r="O28" s="213"/>
      <c r="P28" s="215"/>
    </row>
    <row r="29" spans="1:19" x14ac:dyDescent="0.2">
      <c r="A29" s="203"/>
      <c r="B29" s="203"/>
      <c r="C29" s="183" t="s">
        <v>699</v>
      </c>
      <c r="D29" s="184"/>
      <c r="E29" s="216"/>
      <c r="F29" s="216"/>
      <c r="G29" s="216"/>
      <c r="H29" s="185">
        <f>3160548+352656</f>
        <v>3513204</v>
      </c>
      <c r="I29" s="217"/>
      <c r="J29" s="217"/>
      <c r="K29" s="218"/>
      <c r="L29" s="217"/>
      <c r="M29" s="217"/>
      <c r="N29" s="217"/>
      <c r="O29" s="217"/>
      <c r="P29" s="219"/>
    </row>
    <row r="30" spans="1:19" x14ac:dyDescent="0.2">
      <c r="A30" s="203"/>
      <c r="B30" s="203"/>
      <c r="C30" s="183" t="s">
        <v>700</v>
      </c>
      <c r="D30" s="184"/>
      <c r="E30" s="216"/>
      <c r="F30" s="216"/>
      <c r="G30" s="216"/>
      <c r="H30" s="220">
        <f>H28-H10</f>
        <v>0</v>
      </c>
      <c r="I30" s="217"/>
      <c r="J30" s="217"/>
      <c r="K30" s="218"/>
      <c r="L30" s="217"/>
      <c r="M30" s="217"/>
      <c r="N30" s="217"/>
      <c r="O30" s="217"/>
      <c r="P30" s="219"/>
    </row>
    <row r="31" spans="1:19" x14ac:dyDescent="0.2">
      <c r="A31" s="221"/>
      <c r="B31" s="221"/>
      <c r="C31" s="183" t="s">
        <v>701</v>
      </c>
      <c r="D31" s="184"/>
      <c r="E31" s="217"/>
      <c r="F31" s="217"/>
      <c r="G31" s="217"/>
      <c r="H31" s="220">
        <f>H29-H27</f>
        <v>160</v>
      </c>
      <c r="I31" s="217"/>
      <c r="J31" s="217"/>
      <c r="K31" s="218"/>
      <c r="L31" s="217"/>
      <c r="M31" s="217"/>
      <c r="N31" s="217"/>
      <c r="O31" s="217"/>
      <c r="P31" s="219"/>
    </row>
    <row r="33" spans="1:15" s="157" customFormat="1" ht="27" customHeight="1" thickBot="1" x14ac:dyDescent="0.25">
      <c r="A33" s="158" t="s">
        <v>687</v>
      </c>
      <c r="B33" s="158" t="s">
        <v>687</v>
      </c>
      <c r="M33" s="406" t="s">
        <v>690</v>
      </c>
      <c r="N33" s="406"/>
      <c r="O33" s="406"/>
    </row>
    <row r="34" spans="1:15" s="157" customFormat="1" ht="51.75" thickBot="1" x14ac:dyDescent="0.25">
      <c r="A34" s="225"/>
      <c r="B34" s="225"/>
      <c r="C34" s="229" t="s">
        <v>633</v>
      </c>
      <c r="D34" s="249"/>
      <c r="E34" s="234" t="s">
        <v>749</v>
      </c>
      <c r="F34" s="234" t="s">
        <v>750</v>
      </c>
      <c r="G34" s="234" t="s">
        <v>751</v>
      </c>
      <c r="H34" s="294" t="s">
        <v>747</v>
      </c>
      <c r="I34" s="234" t="s">
        <v>748</v>
      </c>
      <c r="J34" s="234" t="s">
        <v>745</v>
      </c>
      <c r="K34" s="295" t="s">
        <v>641</v>
      </c>
      <c r="M34" s="145"/>
      <c r="N34" s="145" t="s">
        <v>693</v>
      </c>
      <c r="O34" s="145" t="s">
        <v>694</v>
      </c>
    </row>
    <row r="35" spans="1:15" s="157" customFormat="1" x14ac:dyDescent="0.2">
      <c r="A35" s="225"/>
      <c r="B35" s="225"/>
      <c r="C35" s="194" t="s">
        <v>688</v>
      </c>
      <c r="D35" s="195"/>
      <c r="E35" s="226"/>
      <c r="F35" s="226"/>
      <c r="G35" s="226"/>
      <c r="H35" s="226"/>
      <c r="I35" s="226"/>
      <c r="J35" s="227">
        <f>I35-H35</f>
        <v>0</v>
      </c>
      <c r="K35" s="228" t="e">
        <f>(I35-H35)/H35</f>
        <v>#DIV/0!</v>
      </c>
      <c r="M35" s="146" t="s">
        <v>691</v>
      </c>
      <c r="N35" s="146"/>
      <c r="O35" s="146"/>
    </row>
    <row r="36" spans="1:15" s="157" customFormat="1" x14ac:dyDescent="0.2">
      <c r="M36" s="146" t="s">
        <v>692</v>
      </c>
      <c r="N36" s="146"/>
      <c r="O36" s="146"/>
    </row>
    <row r="37" spans="1:15" s="157" customFormat="1" x14ac:dyDescent="0.2">
      <c r="M37" s="146" t="s">
        <v>23</v>
      </c>
      <c r="N37" s="146">
        <f>SUM(N35:N36)</f>
        <v>0</v>
      </c>
      <c r="O37" s="146">
        <f>SUM(O35:O36)</f>
        <v>0</v>
      </c>
    </row>
    <row r="38" spans="1:15" s="157" customFormat="1" x14ac:dyDescent="0.2"/>
    <row r="39" spans="1:15" s="157" customFormat="1" x14ac:dyDescent="0.2"/>
    <row r="40" spans="1:15" s="157" customFormat="1" x14ac:dyDescent="0.2"/>
  </sheetData>
  <mergeCells count="2">
    <mergeCell ref="L3:N3"/>
    <mergeCell ref="M33:O33"/>
  </mergeCells>
  <pageMargins left="0.25" right="0.25" top="0.67708333333333304" bottom="0.35416666666666702" header="0.3" footer="0.3"/>
  <pageSetup paperSize="5" scale="58" orientation="landscape" r:id="rId1"/>
  <headerFooter>
    <oddHeader>&amp;C&amp;"Calibri,Bold"&amp;A</oddHeader>
    <oddFooter>&amp;Rprinted:  &amp;D&amp;T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8"/>
  <sheetViews>
    <sheetView showGridLines="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839</v>
      </c>
      <c r="O1" s="164"/>
    </row>
    <row r="2" spans="1:19" ht="23.25" customHeight="1" thickBot="1" x14ac:dyDescent="0.3">
      <c r="A2" s="290" t="s">
        <v>810</v>
      </c>
      <c r="B2" s="232"/>
      <c r="C2" s="292" t="s">
        <v>840</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182069.6</f>
        <v>182069.6</v>
      </c>
      <c r="F6" s="171">
        <f>181577.45</f>
        <v>181577.45</v>
      </c>
      <c r="G6" s="171">
        <f>182794.59</f>
        <v>182794.59</v>
      </c>
      <c r="H6" s="171">
        <f>SUM('FT Salaries'!E33)</f>
        <v>181577.42800000001</v>
      </c>
      <c r="I6" s="172">
        <f>SUM(H6)</f>
        <v>181577.42800000001</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182069.6</v>
      </c>
      <c r="F8" s="179">
        <f>SUM(F6:F7)</f>
        <v>181577.45</v>
      </c>
      <c r="G8" s="179">
        <f>SUM(G6:G7)</f>
        <v>182794.59</v>
      </c>
      <c r="H8" s="179">
        <f>SUM(H6:H7)</f>
        <v>181577.42800000001</v>
      </c>
      <c r="I8" s="179">
        <f>SUM(I6:I7)</f>
        <v>181577.42800000001</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578</v>
      </c>
      <c r="B12" s="318">
        <v>601400</v>
      </c>
      <c r="C12" s="146" t="s">
        <v>577</v>
      </c>
      <c r="D12" s="170"/>
      <c r="E12" s="171">
        <v>59.480000000000004</v>
      </c>
      <c r="F12" s="171"/>
      <c r="G12" s="171">
        <v>2076.4499999999998</v>
      </c>
      <c r="H12" s="171">
        <v>1900</v>
      </c>
      <c r="I12" s="172">
        <v>1900</v>
      </c>
      <c r="J12" s="173">
        <f t="shared" si="1"/>
        <v>0</v>
      </c>
      <c r="K12" s="174">
        <f t="shared" ref="K12:K18" si="2">(I12-H12)/H12</f>
        <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59.480000000000004</v>
      </c>
      <c r="F18" s="185">
        <f t="shared" ref="F18:I18" si="3">SUM(F12:F17)</f>
        <v>0</v>
      </c>
      <c r="G18" s="185">
        <f t="shared" si="3"/>
        <v>2076.4499999999998</v>
      </c>
      <c r="H18" s="185">
        <f t="shared" si="3"/>
        <v>1900</v>
      </c>
      <c r="I18" s="185">
        <f t="shared" si="3"/>
        <v>1900</v>
      </c>
      <c r="J18" s="185">
        <f t="shared" si="1"/>
        <v>0</v>
      </c>
      <c r="K18" s="186">
        <f t="shared" si="2"/>
        <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407</v>
      </c>
      <c r="B21" s="318">
        <v>701001</v>
      </c>
      <c r="C21" s="194" t="s">
        <v>406</v>
      </c>
      <c r="D21" s="195"/>
      <c r="E21" s="196"/>
      <c r="F21" s="196">
        <v>55</v>
      </c>
      <c r="G21" s="196"/>
      <c r="H21" s="196"/>
      <c r="I21" s="196"/>
      <c r="J21" s="197">
        <f t="shared" ref="J21:J34" si="5">I21-H21</f>
        <v>0</v>
      </c>
      <c r="K21" s="198" t="e">
        <f t="shared" ref="K21:K34" si="6">(I21-H21)/H21</f>
        <v>#DIV/0!</v>
      </c>
      <c r="L21" s="196"/>
      <c r="M21" s="196"/>
      <c r="N21" s="196"/>
      <c r="O21" s="196"/>
      <c r="P21" s="199"/>
    </row>
    <row r="22" spans="1:19" ht="31.5" customHeight="1" x14ac:dyDescent="0.2">
      <c r="A22" s="193" t="s">
        <v>363</v>
      </c>
      <c r="B22" s="318">
        <v>701603</v>
      </c>
      <c r="C22" s="194" t="s">
        <v>362</v>
      </c>
      <c r="D22" s="195"/>
      <c r="E22" s="196">
        <v>6977</v>
      </c>
      <c r="F22" s="196">
        <v>3828</v>
      </c>
      <c r="G22" s="196">
        <v>4326</v>
      </c>
      <c r="H22" s="196">
        <f>9500+1550</f>
        <v>11050</v>
      </c>
      <c r="I22" s="196">
        <f>9500+1550</f>
        <v>11050</v>
      </c>
      <c r="J22" s="197">
        <f t="shared" si="5"/>
        <v>0</v>
      </c>
      <c r="K22" s="198">
        <f t="shared" si="6"/>
        <v>0</v>
      </c>
      <c r="L22" s="196"/>
      <c r="M22" s="196"/>
      <c r="N22" s="196"/>
      <c r="O22" s="196"/>
      <c r="P22" s="199"/>
    </row>
    <row r="23" spans="1:19" ht="31.5" customHeight="1" x14ac:dyDescent="0.2">
      <c r="A23" s="193" t="s">
        <v>351</v>
      </c>
      <c r="B23" s="318">
        <v>705000</v>
      </c>
      <c r="C23" s="194" t="s">
        <v>350</v>
      </c>
      <c r="D23" s="195"/>
      <c r="E23" s="196">
        <v>390</v>
      </c>
      <c r="F23" s="196">
        <v>350</v>
      </c>
      <c r="G23" s="196"/>
      <c r="H23" s="196"/>
      <c r="I23" s="196"/>
      <c r="J23" s="197">
        <f t="shared" ref="J23:J25" si="7">I23-H23</f>
        <v>0</v>
      </c>
      <c r="K23" s="198" t="e">
        <f t="shared" ref="K23:K25" si="8">(I23-H23)/H23</f>
        <v>#DIV/0!</v>
      </c>
      <c r="L23" s="196"/>
      <c r="M23" s="196"/>
      <c r="N23" s="196"/>
      <c r="O23" s="196"/>
      <c r="P23" s="199"/>
    </row>
    <row r="24" spans="1:19" ht="31.5" customHeight="1" x14ac:dyDescent="0.2">
      <c r="A24" s="193" t="s">
        <v>349</v>
      </c>
      <c r="B24" s="318">
        <v>705100</v>
      </c>
      <c r="C24" s="194" t="s">
        <v>348</v>
      </c>
      <c r="D24" s="195"/>
      <c r="E24" s="196">
        <v>1325.04</v>
      </c>
      <c r="F24" s="196">
        <v>0</v>
      </c>
      <c r="G24" s="196">
        <v>102.59</v>
      </c>
      <c r="H24" s="196"/>
      <c r="I24" s="196"/>
      <c r="J24" s="197">
        <f t="shared" si="7"/>
        <v>0</v>
      </c>
      <c r="K24" s="198" t="e">
        <f t="shared" si="8"/>
        <v>#DIV/0!</v>
      </c>
      <c r="L24" s="196"/>
      <c r="M24" s="196"/>
      <c r="N24" s="196"/>
      <c r="O24" s="196"/>
      <c r="P24" s="199"/>
    </row>
    <row r="25" spans="1:19" ht="31.5" customHeight="1" x14ac:dyDescent="0.2">
      <c r="A25" s="193" t="s">
        <v>276</v>
      </c>
      <c r="B25" s="319">
        <v>706605</v>
      </c>
      <c r="C25" s="194" t="s">
        <v>275</v>
      </c>
      <c r="D25" s="195"/>
      <c r="E25" s="196">
        <v>898.77</v>
      </c>
      <c r="F25" s="196">
        <v>901.23</v>
      </c>
      <c r="G25" s="196">
        <v>75</v>
      </c>
      <c r="H25" s="196"/>
      <c r="I25" s="196"/>
      <c r="J25" s="197">
        <f t="shared" si="7"/>
        <v>0</v>
      </c>
      <c r="K25" s="198" t="e">
        <f t="shared" si="8"/>
        <v>#DIV/0!</v>
      </c>
      <c r="L25" s="196"/>
      <c r="M25" s="196"/>
      <c r="N25" s="196"/>
      <c r="O25" s="196"/>
      <c r="P25" s="199"/>
    </row>
    <row r="26" spans="1:19" ht="31.5" customHeight="1" x14ac:dyDescent="0.2">
      <c r="A26" s="193" t="s">
        <v>258</v>
      </c>
      <c r="B26" s="318">
        <v>707101</v>
      </c>
      <c r="C26" s="194" t="s">
        <v>257</v>
      </c>
      <c r="D26" s="195"/>
      <c r="E26" s="196"/>
      <c r="F26" s="196"/>
      <c r="G26" s="196">
        <v>825</v>
      </c>
      <c r="H26" s="196">
        <v>75</v>
      </c>
      <c r="I26" s="196"/>
      <c r="J26" s="197">
        <f t="shared" si="5"/>
        <v>-75</v>
      </c>
      <c r="K26" s="198">
        <f t="shared" si="6"/>
        <v>-1</v>
      </c>
      <c r="L26" s="196"/>
      <c r="M26" s="196"/>
      <c r="N26" s="196"/>
      <c r="O26" s="196"/>
      <c r="P26" s="199"/>
    </row>
    <row r="27" spans="1:19" ht="31.5" customHeight="1" x14ac:dyDescent="0.2">
      <c r="A27" s="193" t="s">
        <v>230</v>
      </c>
      <c r="B27" s="318">
        <v>707151</v>
      </c>
      <c r="C27" s="194" t="s">
        <v>15</v>
      </c>
      <c r="D27" s="195"/>
      <c r="E27" s="196">
        <v>414.12</v>
      </c>
      <c r="F27" s="196">
        <v>351.03000000000003</v>
      </c>
      <c r="G27" s="196">
        <v>367.5</v>
      </c>
      <c r="H27" s="196">
        <f>35*12</f>
        <v>420</v>
      </c>
      <c r="I27" s="196"/>
      <c r="J27" s="197">
        <f t="shared" si="5"/>
        <v>-420</v>
      </c>
      <c r="K27" s="198">
        <f t="shared" si="6"/>
        <v>-1</v>
      </c>
      <c r="L27" s="196"/>
      <c r="M27" s="196"/>
      <c r="N27" s="196"/>
      <c r="O27" s="196"/>
      <c r="P27" s="199"/>
    </row>
    <row r="28" spans="1:19" ht="31.5" customHeight="1" x14ac:dyDescent="0.2">
      <c r="A28" s="193" t="s">
        <v>229</v>
      </c>
      <c r="B28" s="318">
        <v>707151</v>
      </c>
      <c r="C28" s="194" t="s">
        <v>16</v>
      </c>
      <c r="D28" s="195"/>
      <c r="E28" s="196">
        <v>42.54</v>
      </c>
      <c r="F28" s="196">
        <v>25.91</v>
      </c>
      <c r="G28" s="196">
        <v>19.740000000000002</v>
      </c>
      <c r="H28" s="196">
        <v>30</v>
      </c>
      <c r="I28" s="196"/>
      <c r="J28" s="197">
        <f t="shared" si="5"/>
        <v>-30</v>
      </c>
      <c r="K28" s="198">
        <f t="shared" si="6"/>
        <v>-1</v>
      </c>
      <c r="L28" s="196"/>
      <c r="M28" s="196"/>
      <c r="N28" s="196"/>
      <c r="O28" s="196"/>
      <c r="P28" s="199"/>
    </row>
    <row r="29" spans="1:19" ht="31.5" customHeight="1" x14ac:dyDescent="0.2">
      <c r="A29" s="193" t="s">
        <v>193</v>
      </c>
      <c r="B29" s="318">
        <v>707307</v>
      </c>
      <c r="C29" s="194" t="s">
        <v>192</v>
      </c>
      <c r="D29" s="195"/>
      <c r="E29" s="196"/>
      <c r="F29" s="196">
        <v>1334.05</v>
      </c>
      <c r="G29" s="196"/>
      <c r="H29" s="196"/>
      <c r="I29" s="196"/>
      <c r="J29" s="197">
        <f t="shared" si="5"/>
        <v>0</v>
      </c>
      <c r="K29" s="198" t="e">
        <f t="shared" si="6"/>
        <v>#DIV/0!</v>
      </c>
      <c r="L29" s="196"/>
      <c r="M29" s="196"/>
      <c r="N29" s="196"/>
      <c r="O29" s="196"/>
      <c r="P29" s="199"/>
    </row>
    <row r="30" spans="1:19" ht="31.5" customHeight="1" x14ac:dyDescent="0.2">
      <c r="A30" s="193" t="s">
        <v>189</v>
      </c>
      <c r="B30" s="318">
        <v>707350</v>
      </c>
      <c r="C30" s="194" t="s">
        <v>188</v>
      </c>
      <c r="D30" s="195"/>
      <c r="E30" s="196"/>
      <c r="F30" s="196"/>
      <c r="G30" s="196">
        <v>298</v>
      </c>
      <c r="H30" s="196"/>
      <c r="I30" s="196"/>
      <c r="J30" s="197">
        <f t="shared" si="5"/>
        <v>0</v>
      </c>
      <c r="K30" s="198" t="e">
        <f t="shared" si="6"/>
        <v>#DIV/0!</v>
      </c>
      <c r="L30" s="196"/>
      <c r="M30" s="196"/>
      <c r="N30" s="196"/>
      <c r="O30" s="196"/>
      <c r="P30" s="199"/>
    </row>
    <row r="31" spans="1:19" ht="31.5" customHeight="1" x14ac:dyDescent="0.2">
      <c r="A31" s="193" t="s">
        <v>183</v>
      </c>
      <c r="B31" s="318">
        <v>707403</v>
      </c>
      <c r="C31" s="194" t="s">
        <v>182</v>
      </c>
      <c r="D31" s="195"/>
      <c r="E31" s="196">
        <v>123.47</v>
      </c>
      <c r="F31" s="196"/>
      <c r="G31" s="196"/>
      <c r="H31" s="196"/>
      <c r="I31" s="196"/>
      <c r="J31" s="197">
        <f t="shared" si="5"/>
        <v>0</v>
      </c>
      <c r="K31" s="198" t="e">
        <f t="shared" si="6"/>
        <v>#DIV/0!</v>
      </c>
      <c r="L31" s="196"/>
      <c r="M31" s="196"/>
      <c r="N31" s="196"/>
      <c r="O31" s="196"/>
      <c r="P31" s="199"/>
    </row>
    <row r="32" spans="1:19" ht="31.5" customHeight="1" x14ac:dyDescent="0.2">
      <c r="A32" s="193"/>
      <c r="B32" s="193"/>
      <c r="C32" s="194"/>
      <c r="D32" s="195"/>
      <c r="E32" s="196"/>
      <c r="F32" s="196"/>
      <c r="G32" s="196"/>
      <c r="H32" s="196"/>
      <c r="I32" s="196"/>
      <c r="J32" s="197">
        <f t="shared" si="5"/>
        <v>0</v>
      </c>
      <c r="K32" s="198" t="e">
        <f t="shared" si="6"/>
        <v>#DIV/0!</v>
      </c>
      <c r="L32" s="196"/>
      <c r="M32" s="196"/>
      <c r="N32" s="196"/>
      <c r="O32" s="196"/>
      <c r="P32" s="199"/>
    </row>
    <row r="33" spans="1:16" ht="31.5" customHeight="1" x14ac:dyDescent="0.2">
      <c r="A33" s="193"/>
      <c r="B33" s="193"/>
      <c r="C33" s="194"/>
      <c r="D33" s="195"/>
      <c r="E33" s="196"/>
      <c r="F33" s="196"/>
      <c r="G33" s="196"/>
      <c r="H33" s="196"/>
      <c r="I33" s="196"/>
      <c r="J33" s="197">
        <f t="shared" si="5"/>
        <v>0</v>
      </c>
      <c r="K33" s="198" t="e">
        <f t="shared" si="6"/>
        <v>#DIV/0!</v>
      </c>
      <c r="L33" s="196"/>
      <c r="M33" s="196"/>
      <c r="N33" s="196"/>
      <c r="O33" s="196"/>
      <c r="P33" s="199"/>
    </row>
    <row r="34" spans="1:16" ht="13.5" thickBot="1" x14ac:dyDescent="0.25">
      <c r="A34" s="200"/>
      <c r="B34" s="200"/>
      <c r="C34" s="177" t="s">
        <v>22</v>
      </c>
      <c r="D34" s="201"/>
      <c r="E34" s="180">
        <f>SUM(E21:E33)</f>
        <v>10170.940000000002</v>
      </c>
      <c r="F34" s="180">
        <f>SUM(F21:F33)</f>
        <v>6845.2199999999993</v>
      </c>
      <c r="G34" s="180">
        <f>SUM(G21:G33)</f>
        <v>6013.83</v>
      </c>
      <c r="H34" s="180">
        <f>SUM(H21:H33)</f>
        <v>11575</v>
      </c>
      <c r="I34" s="180">
        <f>SUM(I21:I33)</f>
        <v>11050</v>
      </c>
      <c r="J34" s="180">
        <f t="shared" si="5"/>
        <v>-525</v>
      </c>
      <c r="K34" s="181">
        <f t="shared" si="6"/>
        <v>-4.5356371490280781E-2</v>
      </c>
      <c r="L34" s="180">
        <f>SUM(L21:L33)</f>
        <v>0</v>
      </c>
      <c r="M34" s="180">
        <f>SUM(M21:M33)</f>
        <v>0</v>
      </c>
      <c r="N34" s="180">
        <f>SUM(N21:N33)</f>
        <v>0</v>
      </c>
      <c r="O34" s="180">
        <f>SUM(O21:O33)</f>
        <v>0</v>
      </c>
      <c r="P34" s="202"/>
    </row>
    <row r="35" spans="1:16" ht="13.5" thickBot="1" x14ac:dyDescent="0.25">
      <c r="A35" s="203"/>
      <c r="B35" s="203"/>
      <c r="C35" s="204" t="s">
        <v>702</v>
      </c>
      <c r="D35" s="205"/>
      <c r="E35" s="206">
        <f>E18+E34</f>
        <v>10230.420000000002</v>
      </c>
      <c r="F35" s="206">
        <f>F18+F34</f>
        <v>6845.2199999999993</v>
      </c>
      <c r="G35" s="206">
        <f>G18+G34</f>
        <v>8090.28</v>
      </c>
      <c r="H35" s="206">
        <f>H18+H34</f>
        <v>13475</v>
      </c>
      <c r="I35" s="206">
        <f>I18+I34</f>
        <v>12950</v>
      </c>
      <c r="J35" s="206">
        <f>I35-H35</f>
        <v>-525</v>
      </c>
      <c r="K35" s="207">
        <f>(I35-H35)/H35</f>
        <v>-3.896103896103896E-2</v>
      </c>
      <c r="L35" s="206">
        <f>L18+L34</f>
        <v>0</v>
      </c>
      <c r="M35" s="206">
        <f>M18+M34</f>
        <v>0</v>
      </c>
      <c r="N35" s="206">
        <f>N18+N34</f>
        <v>0</v>
      </c>
      <c r="O35" s="206">
        <f>O18+O34</f>
        <v>0</v>
      </c>
      <c r="P35" s="208"/>
    </row>
    <row r="36" spans="1:16" x14ac:dyDescent="0.2">
      <c r="A36" s="203"/>
      <c r="B36" s="203"/>
      <c r="C36" s="209" t="s">
        <v>698</v>
      </c>
      <c r="D36" s="210"/>
      <c r="E36" s="211"/>
      <c r="F36" s="211"/>
      <c r="G36" s="211"/>
      <c r="H36" s="212">
        <v>0</v>
      </c>
      <c r="I36" s="213"/>
      <c r="J36" s="213"/>
      <c r="K36" s="214"/>
      <c r="L36" s="213"/>
      <c r="M36" s="213"/>
      <c r="N36" s="213"/>
      <c r="O36" s="213"/>
      <c r="P36" s="215"/>
    </row>
    <row r="37" spans="1:16" x14ac:dyDescent="0.2">
      <c r="A37" s="203"/>
      <c r="B37" s="203"/>
      <c r="C37" s="183" t="s">
        <v>699</v>
      </c>
      <c r="D37" s="184"/>
      <c r="E37" s="216"/>
      <c r="F37" s="216"/>
      <c r="G37" s="216"/>
      <c r="H37" s="185">
        <v>9802</v>
      </c>
      <c r="I37" s="217"/>
      <c r="J37" s="217"/>
      <c r="K37" s="218"/>
      <c r="L37" s="217"/>
      <c r="M37" s="217"/>
      <c r="N37" s="217"/>
      <c r="O37" s="217"/>
      <c r="P37" s="219"/>
    </row>
    <row r="38" spans="1:16" x14ac:dyDescent="0.2">
      <c r="A38" s="203"/>
      <c r="B38" s="203"/>
      <c r="C38" s="183" t="s">
        <v>700</v>
      </c>
      <c r="D38" s="184"/>
      <c r="E38" s="216"/>
      <c r="F38" s="216"/>
      <c r="G38" s="216"/>
      <c r="H38" s="220">
        <f>H36-H10</f>
        <v>0</v>
      </c>
      <c r="I38" s="217"/>
      <c r="J38" s="217"/>
      <c r="K38" s="218"/>
      <c r="L38" s="217"/>
      <c r="M38" s="217"/>
      <c r="N38" s="217"/>
      <c r="O38" s="217"/>
      <c r="P38" s="219"/>
    </row>
    <row r="39" spans="1:16" x14ac:dyDescent="0.2">
      <c r="A39" s="221"/>
      <c r="B39" s="221"/>
      <c r="C39" s="183" t="s">
        <v>701</v>
      </c>
      <c r="D39" s="184"/>
      <c r="E39" s="217"/>
      <c r="F39" s="217"/>
      <c r="G39" s="217"/>
      <c r="H39" s="220">
        <f>H37-H35</f>
        <v>-3673</v>
      </c>
      <c r="I39" s="217"/>
      <c r="J39" s="217"/>
      <c r="K39" s="218"/>
      <c r="L39" s="217"/>
      <c r="M39" s="217"/>
      <c r="N39" s="217"/>
      <c r="O39" s="217"/>
      <c r="P39" s="219"/>
    </row>
    <row r="41" spans="1:16" s="157" customFormat="1" ht="27" customHeight="1" thickBot="1" x14ac:dyDescent="0.25">
      <c r="A41" s="158" t="s">
        <v>687</v>
      </c>
      <c r="B41" s="158" t="s">
        <v>687</v>
      </c>
      <c r="M41" s="406" t="s">
        <v>690</v>
      </c>
      <c r="N41" s="406"/>
      <c r="O41" s="406"/>
    </row>
    <row r="42" spans="1:16" s="157" customFormat="1" ht="51.75" thickBot="1" x14ac:dyDescent="0.25">
      <c r="A42" s="225"/>
      <c r="B42" s="225"/>
      <c r="C42" s="229" t="s">
        <v>633</v>
      </c>
      <c r="D42" s="249"/>
      <c r="E42" s="234" t="s">
        <v>749</v>
      </c>
      <c r="F42" s="234" t="s">
        <v>750</v>
      </c>
      <c r="G42" s="234" t="s">
        <v>751</v>
      </c>
      <c r="H42" s="294" t="s">
        <v>747</v>
      </c>
      <c r="I42" s="234" t="s">
        <v>748</v>
      </c>
      <c r="J42" s="234" t="s">
        <v>745</v>
      </c>
      <c r="K42" s="295" t="s">
        <v>641</v>
      </c>
      <c r="M42" s="145"/>
      <c r="N42" s="145" t="s">
        <v>693</v>
      </c>
      <c r="O42" s="145" t="s">
        <v>694</v>
      </c>
    </row>
    <row r="43" spans="1:16" s="157" customFormat="1" x14ac:dyDescent="0.2">
      <c r="A43" s="225"/>
      <c r="B43" s="225"/>
      <c r="C43" s="194" t="s">
        <v>688</v>
      </c>
      <c r="D43" s="195"/>
      <c r="E43" s="226"/>
      <c r="F43" s="226"/>
      <c r="G43" s="226"/>
      <c r="H43" s="226"/>
      <c r="I43" s="226"/>
      <c r="J43" s="227">
        <f>I43-H43</f>
        <v>0</v>
      </c>
      <c r="K43" s="228" t="e">
        <f>(I43-H43)/H43</f>
        <v>#DIV/0!</v>
      </c>
      <c r="M43" s="146" t="s">
        <v>691</v>
      </c>
      <c r="N43" s="146">
        <v>2</v>
      </c>
      <c r="O43" s="146">
        <v>0</v>
      </c>
    </row>
    <row r="44" spans="1:16" s="157" customFormat="1" x14ac:dyDescent="0.2">
      <c r="M44" s="146" t="s">
        <v>692</v>
      </c>
      <c r="N44" s="146"/>
      <c r="O44" s="146"/>
    </row>
    <row r="45" spans="1:16" s="157" customFormat="1" x14ac:dyDescent="0.2">
      <c r="M45" s="146" t="s">
        <v>23</v>
      </c>
      <c r="N45" s="146">
        <f>SUM(N43:N44)</f>
        <v>2</v>
      </c>
      <c r="O45" s="146">
        <f>SUM(O43:O44)</f>
        <v>0</v>
      </c>
    </row>
    <row r="46" spans="1:16" s="157" customFormat="1" x14ac:dyDescent="0.2"/>
    <row r="47" spans="1:16" s="157" customFormat="1" x14ac:dyDescent="0.2"/>
    <row r="48" spans="1:16" s="157" customFormat="1" x14ac:dyDescent="0.2"/>
  </sheetData>
  <mergeCells count="2">
    <mergeCell ref="L3:N3"/>
    <mergeCell ref="M41:O41"/>
  </mergeCells>
  <pageMargins left="0.25" right="0.25" top="0.67708333333333304" bottom="0.35416666666666702" header="0.3" footer="0.3"/>
  <pageSetup paperSize="5" scale="53" orientation="landscape" r:id="rId1"/>
  <headerFooter>
    <oddHeader>&amp;C&amp;"Calibri,Bold"&amp;A</oddHeader>
    <oddFooter>&amp;Rprinted:  &amp;D&amp;T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8"/>
  <sheetViews>
    <sheetView showGridLines="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841</v>
      </c>
      <c r="O1" s="164"/>
    </row>
    <row r="2" spans="1:19" ht="23.25" customHeight="1" thickBot="1" x14ac:dyDescent="0.3">
      <c r="A2" s="290" t="s">
        <v>810</v>
      </c>
      <c r="B2" s="232"/>
      <c r="C2" s="292" t="s">
        <v>842</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106221</f>
        <v>106221</v>
      </c>
      <c r="F6" s="171">
        <f>101881.85+4059.04</f>
        <v>105940.89</v>
      </c>
      <c r="G6" s="171">
        <f>105737.34+579.86</f>
        <v>106317.2</v>
      </c>
      <c r="H6" s="171">
        <f>SUM('FT Salaries'!E36)</f>
        <v>105941.16799999999</v>
      </c>
      <c r="I6" s="172">
        <f>SUM(H6)</f>
        <v>105941.16799999999</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106221</v>
      </c>
      <c r="F8" s="179">
        <f>SUM(F6:F7)</f>
        <v>105940.89</v>
      </c>
      <c r="G8" s="179">
        <f>SUM(G6:G7)</f>
        <v>106317.2</v>
      </c>
      <c r="H8" s="179">
        <f>SUM(H6:H7)</f>
        <v>105941.16799999999</v>
      </c>
      <c r="I8" s="179">
        <f>SUM(I6:I7)</f>
        <v>105941.16799999999</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580</v>
      </c>
      <c r="B12" s="318">
        <v>601305</v>
      </c>
      <c r="C12" s="146" t="s">
        <v>579</v>
      </c>
      <c r="D12" s="170"/>
      <c r="E12" s="171">
        <v>9782.5500000000011</v>
      </c>
      <c r="F12" s="171">
        <v>5841.63</v>
      </c>
      <c r="G12" s="171">
        <v>10004.6</v>
      </c>
      <c r="H12" s="171">
        <v>5000</v>
      </c>
      <c r="I12" s="172">
        <v>10000</v>
      </c>
      <c r="J12" s="173">
        <f t="shared" si="1"/>
        <v>5000</v>
      </c>
      <c r="K12" s="174">
        <f t="shared" ref="K12:K18" si="2">(I12-H12)/H12</f>
        <v>1</v>
      </c>
      <c r="L12" s="172"/>
      <c r="M12" s="175"/>
      <c r="N12" s="175"/>
      <c r="O12" s="175"/>
      <c r="P12" s="147" t="s">
        <v>1063</v>
      </c>
      <c r="Q12" s="157"/>
      <c r="R12" s="157"/>
      <c r="S12" s="157"/>
    </row>
    <row r="13" spans="1:19" x14ac:dyDescent="0.2">
      <c r="A13" s="169" t="s">
        <v>578</v>
      </c>
      <c r="B13" s="318">
        <v>601400</v>
      </c>
      <c r="C13" s="146" t="s">
        <v>577</v>
      </c>
      <c r="D13" s="170"/>
      <c r="E13" s="171">
        <v>29521.72</v>
      </c>
      <c r="F13" s="171">
        <v>21040.670000000002</v>
      </c>
      <c r="G13" s="171">
        <v>24334.670000000002</v>
      </c>
      <c r="H13" s="171">
        <v>30000</v>
      </c>
      <c r="I13" s="172">
        <v>25000</v>
      </c>
      <c r="J13" s="173">
        <f t="shared" si="1"/>
        <v>-5000</v>
      </c>
      <c r="K13" s="174">
        <f t="shared" si="2"/>
        <v>-0.16666666666666666</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39304.270000000004</v>
      </c>
      <c r="F18" s="185">
        <f t="shared" ref="F18:I18" si="3">SUM(F12:F17)</f>
        <v>26882.300000000003</v>
      </c>
      <c r="G18" s="185">
        <f t="shared" si="3"/>
        <v>34339.270000000004</v>
      </c>
      <c r="H18" s="185">
        <f t="shared" si="3"/>
        <v>35000</v>
      </c>
      <c r="I18" s="185">
        <f t="shared" si="3"/>
        <v>35000</v>
      </c>
      <c r="J18" s="185">
        <f t="shared" si="1"/>
        <v>0</v>
      </c>
      <c r="K18" s="186">
        <f t="shared" si="2"/>
        <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416</v>
      </c>
      <c r="B21" s="318">
        <v>702200</v>
      </c>
      <c r="C21" s="194" t="s">
        <v>11</v>
      </c>
      <c r="D21" s="195"/>
      <c r="E21" s="196">
        <v>172</v>
      </c>
      <c r="F21" s="196">
        <v>765</v>
      </c>
      <c r="G21" s="196"/>
      <c r="H21" s="196"/>
      <c r="I21" s="196"/>
      <c r="J21" s="197">
        <f t="shared" ref="J21:J34" si="5">I21-H21</f>
        <v>0</v>
      </c>
      <c r="K21" s="198" t="e">
        <f t="shared" ref="K21:K34" si="6">(I21-H21)/H21</f>
        <v>#DIV/0!</v>
      </c>
      <c r="L21" s="196"/>
      <c r="M21" s="196"/>
      <c r="N21" s="196"/>
      <c r="O21" s="196"/>
      <c r="P21" s="199"/>
    </row>
    <row r="22" spans="1:19" ht="31.5" customHeight="1" x14ac:dyDescent="0.2">
      <c r="A22" s="193" t="s">
        <v>393</v>
      </c>
      <c r="B22" s="318">
        <v>701403</v>
      </c>
      <c r="C22" s="194" t="s">
        <v>392</v>
      </c>
      <c r="D22" s="195"/>
      <c r="E22" s="196">
        <v>3568.65</v>
      </c>
      <c r="F22" s="196"/>
      <c r="G22" s="196"/>
      <c r="H22" s="196"/>
      <c r="I22" s="196"/>
      <c r="J22" s="197">
        <f t="shared" si="5"/>
        <v>0</v>
      </c>
      <c r="K22" s="198" t="e">
        <f t="shared" si="6"/>
        <v>#DIV/0!</v>
      </c>
      <c r="L22" s="196"/>
      <c r="M22" s="196"/>
      <c r="N22" s="196"/>
      <c r="O22" s="196"/>
      <c r="P22" s="199"/>
    </row>
    <row r="23" spans="1:19" ht="31.5" customHeight="1" x14ac:dyDescent="0.2">
      <c r="A23" s="193" t="s">
        <v>391</v>
      </c>
      <c r="B23" s="319">
        <v>701302</v>
      </c>
      <c r="C23" s="194" t="s">
        <v>390</v>
      </c>
      <c r="D23" s="195"/>
      <c r="E23" s="196">
        <v>3420</v>
      </c>
      <c r="F23" s="196">
        <v>3180</v>
      </c>
      <c r="G23" s="196">
        <v>3600</v>
      </c>
      <c r="H23" s="196">
        <v>2250</v>
      </c>
      <c r="I23" s="196">
        <v>2250</v>
      </c>
      <c r="J23" s="197">
        <f t="shared" si="5"/>
        <v>0</v>
      </c>
      <c r="K23" s="198">
        <f t="shared" si="6"/>
        <v>0</v>
      </c>
      <c r="L23" s="196"/>
      <c r="M23" s="196"/>
      <c r="N23" s="196"/>
      <c r="O23" s="196"/>
      <c r="P23" s="199"/>
    </row>
    <row r="24" spans="1:19" ht="31.5" customHeight="1" x14ac:dyDescent="0.2">
      <c r="A24" s="193" t="s">
        <v>387</v>
      </c>
      <c r="B24" s="318">
        <v>701406</v>
      </c>
      <c r="C24" s="194" t="s">
        <v>386</v>
      </c>
      <c r="D24" s="195"/>
      <c r="E24" s="196">
        <v>10393</v>
      </c>
      <c r="F24" s="196">
        <v>12770</v>
      </c>
      <c r="G24" s="196">
        <v>13300</v>
      </c>
      <c r="H24" s="196">
        <v>13000</v>
      </c>
      <c r="I24" s="196">
        <v>13000</v>
      </c>
      <c r="J24" s="197">
        <f t="shared" si="5"/>
        <v>0</v>
      </c>
      <c r="K24" s="198">
        <f t="shared" si="6"/>
        <v>0</v>
      </c>
      <c r="L24" s="196"/>
      <c r="M24" s="196"/>
      <c r="N24" s="196"/>
      <c r="O24" s="196"/>
      <c r="P24" s="199"/>
    </row>
    <row r="25" spans="1:19" ht="31.5" customHeight="1" x14ac:dyDescent="0.2">
      <c r="A25" s="193" t="s">
        <v>270</v>
      </c>
      <c r="B25" s="319">
        <v>706600</v>
      </c>
      <c r="C25" s="194" t="s">
        <v>269</v>
      </c>
      <c r="D25" s="195"/>
      <c r="E25" s="196"/>
      <c r="F25" s="196">
        <v>5829.25</v>
      </c>
      <c r="G25" s="196">
        <v>5066</v>
      </c>
      <c r="H25" s="196">
        <v>7000</v>
      </c>
      <c r="I25" s="196">
        <v>8000</v>
      </c>
      <c r="J25" s="197">
        <f t="shared" si="5"/>
        <v>1000</v>
      </c>
      <c r="K25" s="198">
        <f t="shared" si="6"/>
        <v>0.14285714285714285</v>
      </c>
      <c r="L25" s="196"/>
      <c r="M25" s="196"/>
      <c r="N25" s="196"/>
      <c r="O25" s="196"/>
      <c r="P25" s="199"/>
    </row>
    <row r="26" spans="1:19" ht="31.5" customHeight="1" x14ac:dyDescent="0.2">
      <c r="A26" s="193" t="s">
        <v>230</v>
      </c>
      <c r="B26" s="318">
        <v>707151</v>
      </c>
      <c r="C26" s="194" t="s">
        <v>15</v>
      </c>
      <c r="D26" s="195"/>
      <c r="E26" s="196">
        <v>169.68</v>
      </c>
      <c r="F26" s="196">
        <v>177.42000000000002</v>
      </c>
      <c r="G26" s="196">
        <v>180</v>
      </c>
      <c r="H26" s="196">
        <f>15*12</f>
        <v>180</v>
      </c>
      <c r="I26" s="196">
        <v>180</v>
      </c>
      <c r="J26" s="197">
        <f t="shared" si="5"/>
        <v>0</v>
      </c>
      <c r="K26" s="198">
        <f t="shared" si="6"/>
        <v>0</v>
      </c>
      <c r="L26" s="196"/>
      <c r="M26" s="196"/>
      <c r="N26" s="196"/>
      <c r="O26" s="196"/>
      <c r="P26" s="199"/>
    </row>
    <row r="27" spans="1:19" ht="31.5" customHeight="1" x14ac:dyDescent="0.2">
      <c r="A27" s="193" t="s">
        <v>229</v>
      </c>
      <c r="B27" s="318">
        <v>707151</v>
      </c>
      <c r="C27" s="194" t="s">
        <v>16</v>
      </c>
      <c r="D27" s="195"/>
      <c r="E27" s="196">
        <v>47.86</v>
      </c>
      <c r="F27" s="196">
        <v>32.160000000000004</v>
      </c>
      <c r="G27" s="196">
        <v>44.45</v>
      </c>
      <c r="H27" s="196">
        <v>25</v>
      </c>
      <c r="I27" s="196">
        <v>25</v>
      </c>
      <c r="J27" s="197">
        <f t="shared" si="5"/>
        <v>0</v>
      </c>
      <c r="K27" s="198">
        <f t="shared" si="6"/>
        <v>0</v>
      </c>
      <c r="L27" s="196"/>
      <c r="M27" s="196"/>
      <c r="N27" s="196"/>
      <c r="O27" s="196"/>
      <c r="P27" s="199"/>
    </row>
    <row r="28" spans="1:19" ht="31.5" customHeight="1" x14ac:dyDescent="0.2">
      <c r="A28" s="193" t="s">
        <v>217</v>
      </c>
      <c r="B28" s="318">
        <v>707306</v>
      </c>
      <c r="C28" s="194" t="s">
        <v>216</v>
      </c>
      <c r="D28" s="195"/>
      <c r="E28" s="196"/>
      <c r="F28" s="196"/>
      <c r="G28" s="196">
        <v>115.5</v>
      </c>
      <c r="H28" s="196"/>
      <c r="I28" s="196"/>
      <c r="J28" s="197">
        <f t="shared" si="5"/>
        <v>0</v>
      </c>
      <c r="K28" s="198" t="e">
        <f t="shared" si="6"/>
        <v>#DIV/0!</v>
      </c>
      <c r="L28" s="196"/>
      <c r="M28" s="196"/>
      <c r="N28" s="196"/>
      <c r="O28" s="196"/>
      <c r="P28" s="199"/>
    </row>
    <row r="29" spans="1:19" ht="31.5" customHeight="1" x14ac:dyDescent="0.2">
      <c r="A29" s="193"/>
      <c r="B29" s="193"/>
      <c r="C29" s="194"/>
      <c r="D29" s="195"/>
      <c r="E29" s="196"/>
      <c r="F29" s="196"/>
      <c r="G29" s="196"/>
      <c r="H29" s="196"/>
      <c r="I29" s="196"/>
      <c r="J29" s="197">
        <f t="shared" si="5"/>
        <v>0</v>
      </c>
      <c r="K29" s="198" t="e">
        <f t="shared" si="6"/>
        <v>#DIV/0!</v>
      </c>
      <c r="L29" s="196"/>
      <c r="M29" s="196"/>
      <c r="N29" s="196"/>
      <c r="O29" s="196"/>
      <c r="P29" s="199"/>
    </row>
    <row r="30" spans="1:19" ht="31.5" customHeight="1" x14ac:dyDescent="0.2">
      <c r="A30" s="193"/>
      <c r="B30" s="193"/>
      <c r="C30" s="194"/>
      <c r="D30" s="195"/>
      <c r="E30" s="196"/>
      <c r="F30" s="196"/>
      <c r="G30" s="196"/>
      <c r="H30" s="196"/>
      <c r="I30" s="196"/>
      <c r="J30" s="197">
        <f t="shared" si="5"/>
        <v>0</v>
      </c>
      <c r="K30" s="198" t="e">
        <f t="shared" si="6"/>
        <v>#DIV/0!</v>
      </c>
      <c r="L30" s="196"/>
      <c r="M30" s="196"/>
      <c r="N30" s="196"/>
      <c r="O30" s="196"/>
      <c r="P30" s="199"/>
    </row>
    <row r="31" spans="1:19" ht="31.5" customHeight="1" x14ac:dyDescent="0.2">
      <c r="A31" s="193"/>
      <c r="B31" s="193"/>
      <c r="C31" s="194"/>
      <c r="D31" s="195"/>
      <c r="E31" s="196"/>
      <c r="F31" s="196"/>
      <c r="G31" s="196"/>
      <c r="H31" s="196"/>
      <c r="I31" s="196"/>
      <c r="J31" s="197">
        <f t="shared" si="5"/>
        <v>0</v>
      </c>
      <c r="K31" s="198" t="e">
        <f t="shared" si="6"/>
        <v>#DIV/0!</v>
      </c>
      <c r="L31" s="196"/>
      <c r="M31" s="196"/>
      <c r="N31" s="196"/>
      <c r="O31" s="196"/>
      <c r="P31" s="199"/>
    </row>
    <row r="32" spans="1:19" ht="31.5" customHeight="1" x14ac:dyDescent="0.2">
      <c r="A32" s="193"/>
      <c r="B32" s="193"/>
      <c r="C32" s="194"/>
      <c r="D32" s="195"/>
      <c r="E32" s="196"/>
      <c r="F32" s="196"/>
      <c r="G32" s="196"/>
      <c r="H32" s="196"/>
      <c r="I32" s="196"/>
      <c r="J32" s="197">
        <f t="shared" si="5"/>
        <v>0</v>
      </c>
      <c r="K32" s="198" t="e">
        <f t="shared" si="6"/>
        <v>#DIV/0!</v>
      </c>
      <c r="L32" s="196"/>
      <c r="M32" s="196"/>
      <c r="N32" s="196"/>
      <c r="O32" s="196"/>
      <c r="P32" s="199"/>
    </row>
    <row r="33" spans="1:16" ht="31.5" customHeight="1" x14ac:dyDescent="0.2">
      <c r="A33" s="193"/>
      <c r="B33" s="193"/>
      <c r="C33" s="194"/>
      <c r="D33" s="195"/>
      <c r="E33" s="196"/>
      <c r="F33" s="196"/>
      <c r="G33" s="196"/>
      <c r="H33" s="196"/>
      <c r="I33" s="196"/>
      <c r="J33" s="197">
        <f t="shared" si="5"/>
        <v>0</v>
      </c>
      <c r="K33" s="198" t="e">
        <f t="shared" si="6"/>
        <v>#DIV/0!</v>
      </c>
      <c r="L33" s="196"/>
      <c r="M33" s="196"/>
      <c r="N33" s="196"/>
      <c r="O33" s="196"/>
      <c r="P33" s="199"/>
    </row>
    <row r="34" spans="1:16" ht="13.5" thickBot="1" x14ac:dyDescent="0.25">
      <c r="A34" s="200"/>
      <c r="B34" s="200"/>
      <c r="C34" s="177" t="s">
        <v>22</v>
      </c>
      <c r="D34" s="201"/>
      <c r="E34" s="180">
        <f>SUM(E21:E33)</f>
        <v>17771.190000000002</v>
      </c>
      <c r="F34" s="180">
        <f>SUM(F21:F33)</f>
        <v>22753.829999999998</v>
      </c>
      <c r="G34" s="180">
        <f>SUM(G21:G33)</f>
        <v>22305.95</v>
      </c>
      <c r="H34" s="180">
        <f>SUM(H21:H33)</f>
        <v>22455</v>
      </c>
      <c r="I34" s="180">
        <f>SUM(I21:I33)</f>
        <v>23455</v>
      </c>
      <c r="J34" s="180">
        <f t="shared" si="5"/>
        <v>1000</v>
      </c>
      <c r="K34" s="181">
        <f t="shared" si="6"/>
        <v>4.4533511467379203E-2</v>
      </c>
      <c r="L34" s="180">
        <f>SUM(L21:L33)</f>
        <v>0</v>
      </c>
      <c r="M34" s="180">
        <f>SUM(M21:M33)</f>
        <v>0</v>
      </c>
      <c r="N34" s="180">
        <f>SUM(N21:N33)</f>
        <v>0</v>
      </c>
      <c r="O34" s="180">
        <f>SUM(O21:O33)</f>
        <v>0</v>
      </c>
      <c r="P34" s="202"/>
    </row>
    <row r="35" spans="1:16" ht="13.5" thickBot="1" x14ac:dyDescent="0.25">
      <c r="A35" s="203"/>
      <c r="B35" s="203"/>
      <c r="C35" s="204" t="s">
        <v>702</v>
      </c>
      <c r="D35" s="205"/>
      <c r="E35" s="206">
        <f>E18+E34</f>
        <v>57075.460000000006</v>
      </c>
      <c r="F35" s="206">
        <f>F18+F34</f>
        <v>49636.130000000005</v>
      </c>
      <c r="G35" s="206">
        <f>G18+G34</f>
        <v>56645.22</v>
      </c>
      <c r="H35" s="206">
        <f>H18+H34</f>
        <v>57455</v>
      </c>
      <c r="I35" s="206">
        <f>I18+I34</f>
        <v>58455</v>
      </c>
      <c r="J35" s="206">
        <f>I35-H35</f>
        <v>1000</v>
      </c>
      <c r="K35" s="207">
        <f>(I35-H35)/H35</f>
        <v>1.7404925593943087E-2</v>
      </c>
      <c r="L35" s="206">
        <f>L18+L34</f>
        <v>0</v>
      </c>
      <c r="M35" s="206">
        <f>M18+M34</f>
        <v>0</v>
      </c>
      <c r="N35" s="206">
        <f>N18+N34</f>
        <v>0</v>
      </c>
      <c r="O35" s="206">
        <f>O18+O34</f>
        <v>0</v>
      </c>
      <c r="P35" s="208"/>
    </row>
    <row r="36" spans="1:16" x14ac:dyDescent="0.2">
      <c r="A36" s="203"/>
      <c r="B36" s="203"/>
      <c r="C36" s="209" t="s">
        <v>698</v>
      </c>
      <c r="D36" s="210"/>
      <c r="E36" s="211"/>
      <c r="F36" s="211"/>
      <c r="G36" s="211"/>
      <c r="H36" s="212">
        <v>0</v>
      </c>
      <c r="I36" s="213"/>
      <c r="J36" s="213"/>
      <c r="K36" s="214"/>
      <c r="L36" s="213"/>
      <c r="M36" s="213"/>
      <c r="N36" s="213"/>
      <c r="O36" s="213"/>
      <c r="P36" s="215"/>
    </row>
    <row r="37" spans="1:16" x14ac:dyDescent="0.2">
      <c r="A37" s="203"/>
      <c r="B37" s="203"/>
      <c r="C37" s="183" t="s">
        <v>699</v>
      </c>
      <c r="D37" s="184"/>
      <c r="E37" s="216"/>
      <c r="F37" s="216"/>
      <c r="G37" s="216"/>
      <c r="H37" s="185">
        <v>55174</v>
      </c>
      <c r="I37" s="217"/>
      <c r="J37" s="217"/>
      <c r="K37" s="218"/>
      <c r="L37" s="217"/>
      <c r="M37" s="217"/>
      <c r="N37" s="217"/>
      <c r="O37" s="217"/>
      <c r="P37" s="219"/>
    </row>
    <row r="38" spans="1:16" x14ac:dyDescent="0.2">
      <c r="A38" s="203"/>
      <c r="B38" s="203"/>
      <c r="C38" s="183" t="s">
        <v>700</v>
      </c>
      <c r="D38" s="184"/>
      <c r="E38" s="216"/>
      <c r="F38" s="216"/>
      <c r="G38" s="216"/>
      <c r="H38" s="220">
        <f>H36-H10</f>
        <v>0</v>
      </c>
      <c r="I38" s="217"/>
      <c r="J38" s="217"/>
      <c r="K38" s="218"/>
      <c r="L38" s="217"/>
      <c r="M38" s="217"/>
      <c r="N38" s="217"/>
      <c r="O38" s="217"/>
      <c r="P38" s="219"/>
    </row>
    <row r="39" spans="1:16" x14ac:dyDescent="0.2">
      <c r="A39" s="221"/>
      <c r="B39" s="221"/>
      <c r="C39" s="183" t="s">
        <v>701</v>
      </c>
      <c r="D39" s="184"/>
      <c r="E39" s="217"/>
      <c r="F39" s="217"/>
      <c r="G39" s="217"/>
      <c r="H39" s="220">
        <f>H37-H35</f>
        <v>-2281</v>
      </c>
      <c r="I39" s="217"/>
      <c r="J39" s="217"/>
      <c r="K39" s="218"/>
      <c r="L39" s="217"/>
      <c r="M39" s="217"/>
      <c r="N39" s="217"/>
      <c r="O39" s="217"/>
      <c r="P39" s="219"/>
    </row>
    <row r="41" spans="1:16" s="157" customFormat="1" ht="27" customHeight="1" thickBot="1" x14ac:dyDescent="0.25">
      <c r="A41" s="158" t="s">
        <v>687</v>
      </c>
      <c r="B41" s="158" t="s">
        <v>687</v>
      </c>
      <c r="M41" s="406" t="s">
        <v>690</v>
      </c>
      <c r="N41" s="406"/>
      <c r="O41" s="406"/>
    </row>
    <row r="42" spans="1:16" s="157" customFormat="1" ht="51.75" thickBot="1" x14ac:dyDescent="0.25">
      <c r="A42" s="225"/>
      <c r="B42" s="225"/>
      <c r="C42" s="229" t="s">
        <v>633</v>
      </c>
      <c r="D42" s="249"/>
      <c r="E42" s="234" t="s">
        <v>749</v>
      </c>
      <c r="F42" s="234" t="s">
        <v>750</v>
      </c>
      <c r="G42" s="234" t="s">
        <v>751</v>
      </c>
      <c r="H42" s="294" t="s">
        <v>747</v>
      </c>
      <c r="I42" s="234" t="s">
        <v>748</v>
      </c>
      <c r="J42" s="234" t="s">
        <v>745</v>
      </c>
      <c r="K42" s="295" t="s">
        <v>641</v>
      </c>
      <c r="M42" s="145"/>
      <c r="N42" s="145" t="s">
        <v>693</v>
      </c>
      <c r="O42" s="145" t="s">
        <v>694</v>
      </c>
    </row>
    <row r="43" spans="1:16" s="157" customFormat="1" x14ac:dyDescent="0.2">
      <c r="A43" s="225"/>
      <c r="B43" s="225"/>
      <c r="C43" s="194" t="s">
        <v>688</v>
      </c>
      <c r="D43" s="195"/>
      <c r="E43" s="226"/>
      <c r="F43" s="226"/>
      <c r="G43" s="226"/>
      <c r="H43" s="226"/>
      <c r="I43" s="226"/>
      <c r="J43" s="227">
        <f>I43-H43</f>
        <v>0</v>
      </c>
      <c r="K43" s="228" t="e">
        <f>(I43-H43)/H43</f>
        <v>#DIV/0!</v>
      </c>
      <c r="M43" s="146" t="s">
        <v>691</v>
      </c>
      <c r="N43" s="146">
        <v>1</v>
      </c>
      <c r="O43" s="146">
        <v>0</v>
      </c>
    </row>
    <row r="44" spans="1:16" s="157" customFormat="1" x14ac:dyDescent="0.2">
      <c r="M44" s="146" t="s">
        <v>692</v>
      </c>
      <c r="N44" s="146"/>
      <c r="O44" s="146"/>
    </row>
    <row r="45" spans="1:16" s="157" customFormat="1" x14ac:dyDescent="0.2">
      <c r="M45" s="146" t="s">
        <v>23</v>
      </c>
      <c r="N45" s="146">
        <f>SUM(N43:N44)</f>
        <v>1</v>
      </c>
      <c r="O45" s="146">
        <f>SUM(O43:O44)</f>
        <v>0</v>
      </c>
    </row>
    <row r="46" spans="1:16" s="157" customFormat="1" x14ac:dyDescent="0.2"/>
    <row r="47" spans="1:16" s="157" customFormat="1" x14ac:dyDescent="0.2"/>
    <row r="48" spans="1:16" s="157" customFormat="1" x14ac:dyDescent="0.2"/>
  </sheetData>
  <mergeCells count="2">
    <mergeCell ref="L3:N3"/>
    <mergeCell ref="M41:O41"/>
  </mergeCells>
  <pageMargins left="0.25" right="0.25" top="0.67708333333333304" bottom="0.35416666666666702" header="0.3" footer="0.3"/>
  <pageSetup paperSize="5" scale="53" orientation="landscape" r:id="rId1"/>
  <headerFooter>
    <oddHeader>&amp;C&amp;"Calibri,Bold"&amp;A</oddHeader>
    <oddFooter>&amp;Rprinted:  &amp;D&amp;T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0"/>
  <sheetViews>
    <sheetView showGridLines="0" zoomScaleNormal="100" workbookViewId="0">
      <selection activeCell="P20" sqref="P20"/>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843</v>
      </c>
      <c r="O1" s="164"/>
    </row>
    <row r="2" spans="1:19" ht="23.25" customHeight="1" thickBot="1" x14ac:dyDescent="0.3">
      <c r="A2" s="290" t="s">
        <v>810</v>
      </c>
      <c r="B2" s="232"/>
      <c r="C2" s="292" t="s">
        <v>844</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c r="B6" s="169"/>
      <c r="C6" s="146"/>
      <c r="D6" s="170"/>
      <c r="E6" s="171"/>
      <c r="F6" s="171"/>
      <c r="G6" s="171"/>
      <c r="H6" s="171"/>
      <c r="I6" s="172"/>
      <c r="J6" s="173">
        <f>I6-H6</f>
        <v>0</v>
      </c>
      <c r="K6" s="174" t="e">
        <f>(I6-H6)/H6</f>
        <v>#DIV/0!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0</v>
      </c>
      <c r="F8" s="179">
        <f>SUM(F6:F7)</f>
        <v>0</v>
      </c>
      <c r="G8" s="179">
        <f>SUM(G6:G7)</f>
        <v>0</v>
      </c>
      <c r="H8" s="179">
        <f>SUM(H6:H7)</f>
        <v>0</v>
      </c>
      <c r="I8" s="179">
        <f>SUM(I6:I7)</f>
        <v>0</v>
      </c>
      <c r="J8" s="180">
        <f>I8-H8</f>
        <v>0</v>
      </c>
      <c r="K8" s="181" t="e">
        <f>(I8-H8)/H8</f>
        <v>#DIV/0!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c r="B12" s="169"/>
      <c r="C12" s="146"/>
      <c r="D12" s="170"/>
      <c r="E12" s="171"/>
      <c r="F12" s="171"/>
      <c r="G12" s="171"/>
      <c r="H12" s="171"/>
      <c r="I12" s="172"/>
      <c r="J12" s="173">
        <f t="shared" si="1"/>
        <v>0</v>
      </c>
      <c r="K12" s="174" t="e">
        <f t="shared" ref="K12:K18" si="2">(I12-H12)/H12</f>
        <v>#DIV/0!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0</v>
      </c>
      <c r="F18" s="185">
        <f t="shared" ref="F18:I18" si="3">SUM(F12:F17)</f>
        <v>0</v>
      </c>
      <c r="G18" s="185">
        <f t="shared" si="3"/>
        <v>0</v>
      </c>
      <c r="H18" s="185">
        <f t="shared" si="3"/>
        <v>0</v>
      </c>
      <c r="I18" s="185">
        <f t="shared" si="3"/>
        <v>0</v>
      </c>
      <c r="J18" s="185">
        <f t="shared" si="1"/>
        <v>0</v>
      </c>
      <c r="K18" s="186" t="e">
        <f t="shared" si="2"/>
        <v>#DIV/0!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416</v>
      </c>
      <c r="B21" s="318">
        <v>702200</v>
      </c>
      <c r="C21" s="194" t="s">
        <v>11</v>
      </c>
      <c r="D21" s="195"/>
      <c r="E21" s="196">
        <v>55</v>
      </c>
      <c r="F21" s="196">
        <v>287</v>
      </c>
      <c r="G21" s="196"/>
      <c r="H21" s="196"/>
      <c r="I21" s="196"/>
      <c r="J21" s="197">
        <f t="shared" ref="J21:J26" si="5">I21-H21</f>
        <v>0</v>
      </c>
      <c r="K21" s="198" t="e">
        <f t="shared" ref="K21:K26" si="6">(I21-H21)/H21</f>
        <v>#DIV/0!</v>
      </c>
      <c r="L21" s="196"/>
      <c r="M21" s="196"/>
      <c r="N21" s="196"/>
      <c r="O21" s="196"/>
      <c r="P21" s="199"/>
    </row>
    <row r="22" spans="1:19" ht="31.5" customHeight="1" x14ac:dyDescent="0.2">
      <c r="A22" s="193"/>
      <c r="B22" s="193"/>
      <c r="C22" s="194"/>
      <c r="D22" s="195"/>
      <c r="E22" s="196"/>
      <c r="F22" s="196"/>
      <c r="G22" s="196"/>
      <c r="H22" s="196"/>
      <c r="I22" s="196"/>
      <c r="J22" s="197">
        <f t="shared" si="5"/>
        <v>0</v>
      </c>
      <c r="K22" s="198" t="e">
        <f t="shared" si="6"/>
        <v>#DIV/0!</v>
      </c>
      <c r="L22" s="196"/>
      <c r="M22" s="196"/>
      <c r="N22" s="196"/>
      <c r="O22" s="196"/>
      <c r="P22" s="199"/>
    </row>
    <row r="23" spans="1:19" ht="31.5" customHeight="1" x14ac:dyDescent="0.2">
      <c r="A23" s="193"/>
      <c r="B23" s="193"/>
      <c r="C23" s="194"/>
      <c r="D23" s="195"/>
      <c r="E23" s="196"/>
      <c r="F23" s="196"/>
      <c r="G23" s="196"/>
      <c r="H23" s="196"/>
      <c r="I23" s="196"/>
      <c r="J23" s="197">
        <f t="shared" si="5"/>
        <v>0</v>
      </c>
      <c r="K23" s="198" t="e">
        <f t="shared" si="6"/>
        <v>#DIV/0!</v>
      </c>
      <c r="L23" s="196"/>
      <c r="M23" s="196"/>
      <c r="N23" s="196"/>
      <c r="O23" s="196"/>
      <c r="P23" s="199"/>
    </row>
    <row r="24" spans="1:19" ht="31.5" customHeight="1" x14ac:dyDescent="0.2">
      <c r="A24" s="193"/>
      <c r="B24" s="193"/>
      <c r="C24" s="194"/>
      <c r="D24" s="195"/>
      <c r="E24" s="196"/>
      <c r="F24" s="196"/>
      <c r="G24" s="196"/>
      <c r="H24" s="196"/>
      <c r="I24" s="196"/>
      <c r="J24" s="197">
        <f t="shared" si="5"/>
        <v>0</v>
      </c>
      <c r="K24" s="198" t="e">
        <f t="shared" si="6"/>
        <v>#DIV/0!</v>
      </c>
      <c r="L24" s="196"/>
      <c r="M24" s="196"/>
      <c r="N24" s="196"/>
      <c r="O24" s="196"/>
      <c r="P24" s="199"/>
    </row>
    <row r="25" spans="1:19" ht="31.5" customHeight="1" x14ac:dyDescent="0.2">
      <c r="A25" s="193"/>
      <c r="B25" s="193"/>
      <c r="C25" s="194"/>
      <c r="D25" s="195"/>
      <c r="E25" s="196"/>
      <c r="F25" s="196"/>
      <c r="G25" s="196"/>
      <c r="H25" s="196"/>
      <c r="I25" s="196"/>
      <c r="J25" s="197">
        <f t="shared" si="5"/>
        <v>0</v>
      </c>
      <c r="K25" s="198" t="e">
        <f t="shared" si="6"/>
        <v>#DIV/0!</v>
      </c>
      <c r="L25" s="196"/>
      <c r="M25" s="196"/>
      <c r="N25" s="196"/>
      <c r="O25" s="196"/>
      <c r="P25" s="199"/>
    </row>
    <row r="26" spans="1:19" ht="13.5" thickBot="1" x14ac:dyDescent="0.25">
      <c r="A26" s="200"/>
      <c r="B26" s="200"/>
      <c r="C26" s="177" t="s">
        <v>22</v>
      </c>
      <c r="D26" s="201"/>
      <c r="E26" s="180">
        <f>SUM(E21:E25)</f>
        <v>55</v>
      </c>
      <c r="F26" s="180">
        <f>SUM(F21:F25)</f>
        <v>287</v>
      </c>
      <c r="G26" s="180">
        <f>SUM(G21:G25)</f>
        <v>0</v>
      </c>
      <c r="H26" s="180">
        <f>SUM(H21:H25)</f>
        <v>0</v>
      </c>
      <c r="I26" s="180">
        <f>SUM(I21:I25)</f>
        <v>0</v>
      </c>
      <c r="J26" s="180">
        <f t="shared" si="5"/>
        <v>0</v>
      </c>
      <c r="K26" s="181" t="e">
        <f t="shared" si="6"/>
        <v>#DIV/0!</v>
      </c>
      <c r="L26" s="180">
        <f>SUM(L21:L25)</f>
        <v>0</v>
      </c>
      <c r="M26" s="180">
        <f>SUM(M21:M25)</f>
        <v>0</v>
      </c>
      <c r="N26" s="180">
        <f>SUM(N21:N25)</f>
        <v>0</v>
      </c>
      <c r="O26" s="180">
        <f>SUM(O21:O25)</f>
        <v>0</v>
      </c>
      <c r="P26" s="202"/>
    </row>
    <row r="27" spans="1:19" ht="13.5" thickBot="1" x14ac:dyDescent="0.25">
      <c r="A27" s="203"/>
      <c r="B27" s="203"/>
      <c r="C27" s="204" t="s">
        <v>702</v>
      </c>
      <c r="D27" s="205"/>
      <c r="E27" s="206">
        <f>E18+E26</f>
        <v>55</v>
      </c>
      <c r="F27" s="206">
        <f>F18+F26</f>
        <v>287</v>
      </c>
      <c r="G27" s="206">
        <f>G18+G26</f>
        <v>0</v>
      </c>
      <c r="H27" s="206">
        <f>H18+H26</f>
        <v>0</v>
      </c>
      <c r="I27" s="206">
        <f>I18+I26</f>
        <v>0</v>
      </c>
      <c r="J27" s="206">
        <f>I27-H27</f>
        <v>0</v>
      </c>
      <c r="K27" s="207" t="e">
        <f>(I27-H27)/H27</f>
        <v>#DIV/0!</v>
      </c>
      <c r="L27" s="206">
        <f>L18+L26</f>
        <v>0</v>
      </c>
      <c r="M27" s="206">
        <f>M18+M26</f>
        <v>0</v>
      </c>
      <c r="N27" s="206">
        <f>N18+N26</f>
        <v>0</v>
      </c>
      <c r="O27" s="206">
        <f>O18+O26</f>
        <v>0</v>
      </c>
      <c r="P27" s="208"/>
    </row>
    <row r="28" spans="1:19" x14ac:dyDescent="0.2">
      <c r="A28" s="203"/>
      <c r="B28" s="203"/>
      <c r="C28" s="209" t="s">
        <v>698</v>
      </c>
      <c r="D28" s="210"/>
      <c r="E28" s="211"/>
      <c r="F28" s="211"/>
      <c r="G28" s="211"/>
      <c r="H28" s="212">
        <v>0</v>
      </c>
      <c r="I28" s="213"/>
      <c r="J28" s="213"/>
      <c r="K28" s="214"/>
      <c r="L28" s="213"/>
      <c r="M28" s="213"/>
      <c r="N28" s="213"/>
      <c r="O28" s="213"/>
      <c r="P28" s="215"/>
    </row>
    <row r="29" spans="1:19" x14ac:dyDescent="0.2">
      <c r="A29" s="203"/>
      <c r="B29" s="203"/>
      <c r="C29" s="183" t="s">
        <v>699</v>
      </c>
      <c r="D29" s="184"/>
      <c r="E29" s="216"/>
      <c r="F29" s="216"/>
      <c r="G29" s="216"/>
      <c r="H29" s="185">
        <v>0</v>
      </c>
      <c r="I29" s="217"/>
      <c r="J29" s="217"/>
      <c r="K29" s="218"/>
      <c r="L29" s="217"/>
      <c r="M29" s="217"/>
      <c r="N29" s="217"/>
      <c r="O29" s="217"/>
      <c r="P29" s="219"/>
    </row>
    <row r="30" spans="1:19" x14ac:dyDescent="0.2">
      <c r="A30" s="203"/>
      <c r="B30" s="203"/>
      <c r="C30" s="183" t="s">
        <v>700</v>
      </c>
      <c r="D30" s="184"/>
      <c r="E30" s="216"/>
      <c r="F30" s="216"/>
      <c r="G30" s="216"/>
      <c r="H30" s="220">
        <f>H28-H10</f>
        <v>0</v>
      </c>
      <c r="I30" s="217"/>
      <c r="J30" s="217"/>
      <c r="K30" s="218"/>
      <c r="L30" s="217"/>
      <c r="M30" s="217"/>
      <c r="N30" s="217"/>
      <c r="O30" s="217"/>
      <c r="P30" s="219"/>
    </row>
    <row r="31" spans="1:19" x14ac:dyDescent="0.2">
      <c r="A31" s="221"/>
      <c r="B31" s="221"/>
      <c r="C31" s="183" t="s">
        <v>701</v>
      </c>
      <c r="D31" s="184"/>
      <c r="E31" s="217"/>
      <c r="F31" s="217"/>
      <c r="G31" s="217"/>
      <c r="H31" s="220">
        <f>H29-H27</f>
        <v>0</v>
      </c>
      <c r="I31" s="217"/>
      <c r="J31" s="217"/>
      <c r="K31" s="218"/>
      <c r="L31" s="217"/>
      <c r="M31" s="217"/>
      <c r="N31" s="217"/>
      <c r="O31" s="217"/>
      <c r="P31" s="219"/>
    </row>
    <row r="33" spans="1:15" s="157" customFormat="1" ht="27" customHeight="1" thickBot="1" x14ac:dyDescent="0.25">
      <c r="A33" s="158" t="s">
        <v>687</v>
      </c>
      <c r="B33" s="158" t="s">
        <v>687</v>
      </c>
      <c r="M33" s="406" t="s">
        <v>690</v>
      </c>
      <c r="N33" s="406"/>
      <c r="O33" s="406"/>
    </row>
    <row r="34" spans="1:15" s="157" customFormat="1" ht="51.75" thickBot="1" x14ac:dyDescent="0.25">
      <c r="A34" s="225"/>
      <c r="B34" s="225"/>
      <c r="C34" s="229" t="s">
        <v>633</v>
      </c>
      <c r="D34" s="249"/>
      <c r="E34" s="234" t="s">
        <v>749</v>
      </c>
      <c r="F34" s="234" t="s">
        <v>750</v>
      </c>
      <c r="G34" s="234" t="s">
        <v>751</v>
      </c>
      <c r="H34" s="294" t="s">
        <v>747</v>
      </c>
      <c r="I34" s="234" t="s">
        <v>748</v>
      </c>
      <c r="J34" s="234" t="s">
        <v>745</v>
      </c>
      <c r="K34" s="295" t="s">
        <v>641</v>
      </c>
      <c r="M34" s="145"/>
      <c r="N34" s="145" t="s">
        <v>693</v>
      </c>
      <c r="O34" s="145" t="s">
        <v>694</v>
      </c>
    </row>
    <row r="35" spans="1:15" s="157" customFormat="1" x14ac:dyDescent="0.2">
      <c r="A35" s="225"/>
      <c r="B35" s="225"/>
      <c r="C35" s="194" t="s">
        <v>688</v>
      </c>
      <c r="D35" s="195"/>
      <c r="E35" s="226"/>
      <c r="F35" s="226"/>
      <c r="G35" s="226"/>
      <c r="H35" s="226"/>
      <c r="I35" s="226"/>
      <c r="J35" s="227">
        <f>I35-H35</f>
        <v>0</v>
      </c>
      <c r="K35" s="228" t="e">
        <f>(I35-H35)/H35</f>
        <v>#DIV/0!</v>
      </c>
      <c r="M35" s="146" t="s">
        <v>691</v>
      </c>
      <c r="N35" s="146"/>
      <c r="O35" s="146"/>
    </row>
    <row r="36" spans="1:15" s="157" customFormat="1" x14ac:dyDescent="0.2">
      <c r="M36" s="146" t="s">
        <v>692</v>
      </c>
      <c r="N36" s="146"/>
      <c r="O36" s="146"/>
    </row>
    <row r="37" spans="1:15" s="157" customFormat="1" x14ac:dyDescent="0.2">
      <c r="M37" s="146" t="s">
        <v>23</v>
      </c>
      <c r="N37" s="146">
        <f>SUM(N35:N36)</f>
        <v>0</v>
      </c>
      <c r="O37" s="146">
        <f>SUM(O35:O36)</f>
        <v>0</v>
      </c>
    </row>
    <row r="38" spans="1:15" s="157" customFormat="1" x14ac:dyDescent="0.2"/>
    <row r="39" spans="1:15" s="157" customFormat="1" x14ac:dyDescent="0.2"/>
    <row r="40" spans="1:15" s="157" customFormat="1" x14ac:dyDescent="0.2"/>
  </sheetData>
  <mergeCells count="2">
    <mergeCell ref="L3:N3"/>
    <mergeCell ref="M33:O33"/>
  </mergeCells>
  <pageMargins left="0.25" right="0.25" top="0.67708333333333304" bottom="0.35416666666666702" header="0.3" footer="0.3"/>
  <pageSetup paperSize="5" scale="58" orientation="landscape" r:id="rId1"/>
  <headerFooter>
    <oddHeader>&amp;C&amp;"Calibri,Bold"&amp;A</oddHeader>
    <oddFooter>&amp;Rprinted:  &amp;D&amp;T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53"/>
  <sheetViews>
    <sheetView showGridLines="0" topLeftCell="A34"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845</v>
      </c>
      <c r="O1" s="164"/>
    </row>
    <row r="2" spans="1:19" ht="23.25" customHeight="1" thickBot="1" x14ac:dyDescent="0.3">
      <c r="A2" s="290" t="s">
        <v>810</v>
      </c>
      <c r="B2" s="232"/>
      <c r="C2" s="292" t="s">
        <v>871</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52693.48+122588.5</f>
        <v>175281.98</v>
      </c>
      <c r="F6" s="171">
        <f>52880.96+3000+122628.66+539.33</f>
        <v>179048.94999999998</v>
      </c>
      <c r="G6" s="171">
        <f>52070.54+121280.28</f>
        <v>173350.82</v>
      </c>
      <c r="H6" s="171">
        <f>SUM('FT Salaries'!E40)</f>
        <v>186346.43831344135</v>
      </c>
      <c r="I6" s="172">
        <f>SUM(H6)</f>
        <v>186346.43831344135</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175281.98</v>
      </c>
      <c r="F8" s="179">
        <f>SUM(F6:F7)</f>
        <v>179048.94999999998</v>
      </c>
      <c r="G8" s="179">
        <f>SUM(G6:G7)</f>
        <v>173350.82</v>
      </c>
      <c r="H8" s="179">
        <f>SUM(H6:H7)</f>
        <v>186346.43831344135</v>
      </c>
      <c r="I8" s="179">
        <f>SUM(I6:I7)</f>
        <v>186346.43831344135</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10188.23</v>
      </c>
      <c r="F12" s="171">
        <v>9985.51</v>
      </c>
      <c r="G12" s="171">
        <v>9995.25</v>
      </c>
      <c r="H12" s="171">
        <v>9995</v>
      </c>
      <c r="I12" s="172">
        <v>9995</v>
      </c>
      <c r="J12" s="173">
        <f t="shared" si="1"/>
        <v>0</v>
      </c>
      <c r="K12" s="174">
        <f t="shared" ref="K12:K18" si="2">(I12-H12)/H12</f>
        <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10188.23</v>
      </c>
      <c r="F18" s="185">
        <f t="shared" ref="F18:I18" si="3">SUM(F12:F17)</f>
        <v>9985.51</v>
      </c>
      <c r="G18" s="185">
        <f t="shared" si="3"/>
        <v>9995.25</v>
      </c>
      <c r="H18" s="185">
        <f t="shared" si="3"/>
        <v>9995</v>
      </c>
      <c r="I18" s="185">
        <f t="shared" si="3"/>
        <v>9995</v>
      </c>
      <c r="J18" s="185">
        <f t="shared" si="1"/>
        <v>0</v>
      </c>
      <c r="K18" s="186">
        <f t="shared" si="2"/>
        <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408</v>
      </c>
      <c r="F21" s="196"/>
      <c r="G21" s="196"/>
      <c r="H21" s="196"/>
      <c r="I21" s="196"/>
      <c r="J21" s="197">
        <f t="shared" ref="J21:J39" si="5">I21-H21</f>
        <v>0</v>
      </c>
      <c r="K21" s="198" t="e">
        <f t="shared" ref="K21:K39" si="6">(I21-H21)/H21</f>
        <v>#DIV/0!</v>
      </c>
      <c r="L21" s="196"/>
      <c r="M21" s="196"/>
      <c r="N21" s="196"/>
      <c r="O21" s="196"/>
      <c r="P21" s="199"/>
    </row>
    <row r="22" spans="1:19" ht="31.5" customHeight="1" x14ac:dyDescent="0.2">
      <c r="A22" s="193" t="s">
        <v>416</v>
      </c>
      <c r="B22" s="318">
        <v>702200</v>
      </c>
      <c r="C22" s="194" t="s">
        <v>11</v>
      </c>
      <c r="D22" s="195"/>
      <c r="E22" s="196"/>
      <c r="F22" s="196">
        <v>6166.5</v>
      </c>
      <c r="G22" s="196">
        <v>5094</v>
      </c>
      <c r="H22" s="196">
        <v>5990</v>
      </c>
      <c r="I22" s="196">
        <v>12000</v>
      </c>
      <c r="J22" s="197">
        <f t="shared" si="5"/>
        <v>6010</v>
      </c>
      <c r="K22" s="198">
        <f t="shared" si="6"/>
        <v>1.003338898163606</v>
      </c>
      <c r="L22" s="196"/>
      <c r="M22" s="196"/>
      <c r="N22" s="196"/>
      <c r="O22" s="196">
        <v>4232</v>
      </c>
      <c r="P22" s="199" t="s">
        <v>1030</v>
      </c>
    </row>
    <row r="23" spans="1:19" ht="31.5" customHeight="1" x14ac:dyDescent="0.2">
      <c r="A23" s="193" t="s">
        <v>387</v>
      </c>
      <c r="B23" s="318">
        <v>701406</v>
      </c>
      <c r="C23" s="194" t="s">
        <v>386</v>
      </c>
      <c r="D23" s="195"/>
      <c r="E23" s="196">
        <v>12666</v>
      </c>
      <c r="F23" s="196">
        <v>13696</v>
      </c>
      <c r="G23" s="196">
        <v>12743</v>
      </c>
      <c r="H23" s="196">
        <v>12180</v>
      </c>
      <c r="I23" s="196">
        <v>13250</v>
      </c>
      <c r="J23" s="197">
        <f t="shared" si="5"/>
        <v>1070</v>
      </c>
      <c r="K23" s="198">
        <f t="shared" si="6"/>
        <v>8.7848932676518887E-2</v>
      </c>
      <c r="L23" s="196"/>
      <c r="M23" s="196"/>
      <c r="N23" s="196"/>
      <c r="O23" s="196"/>
      <c r="P23" s="199"/>
    </row>
    <row r="24" spans="1:19" ht="31.5" customHeight="1" x14ac:dyDescent="0.2">
      <c r="A24" s="193" t="s">
        <v>377</v>
      </c>
      <c r="B24" s="318">
        <v>701500</v>
      </c>
      <c r="C24" s="194" t="s">
        <v>376</v>
      </c>
      <c r="D24" s="195"/>
      <c r="E24" s="196">
        <v>100</v>
      </c>
      <c r="F24" s="196">
        <v>100</v>
      </c>
      <c r="G24" s="196">
        <v>100</v>
      </c>
      <c r="H24" s="196">
        <v>100</v>
      </c>
      <c r="I24" s="196">
        <v>200</v>
      </c>
      <c r="J24" s="197">
        <f t="shared" ref="J24:J27" si="7">I24-H24</f>
        <v>100</v>
      </c>
      <c r="K24" s="198">
        <f t="shared" ref="K24:K27" si="8">(I24-H24)/H24</f>
        <v>1</v>
      </c>
      <c r="L24" s="196"/>
      <c r="M24" s="196"/>
      <c r="N24" s="196"/>
      <c r="O24" s="196"/>
      <c r="P24" s="199"/>
    </row>
    <row r="25" spans="1:19" ht="31.5" customHeight="1" x14ac:dyDescent="0.2">
      <c r="A25" s="193">
        <v>723130</v>
      </c>
      <c r="B25" s="318">
        <v>701603</v>
      </c>
      <c r="C25" s="194" t="s">
        <v>362</v>
      </c>
      <c r="D25" s="195"/>
      <c r="E25" s="196">
        <v>0</v>
      </c>
      <c r="F25" s="196">
        <v>0</v>
      </c>
      <c r="G25" s="196">
        <v>0</v>
      </c>
      <c r="H25" s="196">
        <f>SUM('[4]FY19 Expected Expense'!D19)</f>
        <v>650</v>
      </c>
      <c r="I25" s="196">
        <v>650</v>
      </c>
      <c r="J25" s="197"/>
      <c r="K25" s="198"/>
      <c r="L25" s="196"/>
      <c r="M25" s="196"/>
      <c r="N25" s="196"/>
      <c r="O25" s="196"/>
      <c r="P25" s="199"/>
    </row>
    <row r="26" spans="1:19" ht="31.5" customHeight="1" x14ac:dyDescent="0.2">
      <c r="A26" s="193" t="s">
        <v>361</v>
      </c>
      <c r="B26" s="318">
        <v>705001</v>
      </c>
      <c r="C26" s="194" t="s">
        <v>360</v>
      </c>
      <c r="D26" s="195"/>
      <c r="E26" s="196">
        <v>10775.57</v>
      </c>
      <c r="F26" s="196">
        <v>3904</v>
      </c>
      <c r="G26" s="196">
        <v>925.19</v>
      </c>
      <c r="H26" s="196">
        <v>2400</v>
      </c>
      <c r="I26" s="196">
        <v>3200</v>
      </c>
      <c r="J26" s="197">
        <f t="shared" si="7"/>
        <v>800</v>
      </c>
      <c r="K26" s="198">
        <f t="shared" si="8"/>
        <v>0.33333333333333331</v>
      </c>
      <c r="L26" s="196"/>
      <c r="M26" s="196"/>
      <c r="N26" s="196"/>
      <c r="O26" s="196"/>
      <c r="P26" s="199"/>
    </row>
    <row r="27" spans="1:19" ht="31.5" customHeight="1" x14ac:dyDescent="0.2">
      <c r="A27" s="193" t="s">
        <v>359</v>
      </c>
      <c r="B27" s="318">
        <v>705101</v>
      </c>
      <c r="C27" s="194" t="s">
        <v>358</v>
      </c>
      <c r="D27" s="195"/>
      <c r="E27" s="196">
        <v>76251.48</v>
      </c>
      <c r="F27" s="196">
        <v>94281.76</v>
      </c>
      <c r="G27" s="196">
        <v>72213.72</v>
      </c>
      <c r="H27" s="196">
        <v>135154</v>
      </c>
      <c r="I27" s="196">
        <v>105000</v>
      </c>
      <c r="J27" s="197">
        <f t="shared" si="7"/>
        <v>-30154</v>
      </c>
      <c r="K27" s="198">
        <f t="shared" si="8"/>
        <v>-0.22310845405981325</v>
      </c>
      <c r="L27" s="196"/>
      <c r="M27" s="196"/>
      <c r="N27" s="196"/>
      <c r="O27" s="196"/>
      <c r="P27" s="199"/>
    </row>
    <row r="28" spans="1:19" ht="31.5" customHeight="1" x14ac:dyDescent="0.2">
      <c r="A28" s="193" t="s">
        <v>357</v>
      </c>
      <c r="B28" s="318">
        <v>705002</v>
      </c>
      <c r="C28" s="194" t="s">
        <v>356</v>
      </c>
      <c r="D28" s="195"/>
      <c r="E28" s="196">
        <v>186</v>
      </c>
      <c r="F28" s="196">
        <v>105</v>
      </c>
      <c r="G28" s="196">
        <v>230.5</v>
      </c>
      <c r="H28" s="196">
        <v>250</v>
      </c>
      <c r="I28" s="196"/>
      <c r="J28" s="197">
        <f t="shared" si="5"/>
        <v>-250</v>
      </c>
      <c r="K28" s="198">
        <f t="shared" si="6"/>
        <v>-1</v>
      </c>
      <c r="L28" s="196">
        <v>1000</v>
      </c>
      <c r="M28" s="196"/>
      <c r="N28" s="196"/>
      <c r="O28" s="196"/>
      <c r="P28" s="199" t="s">
        <v>1001</v>
      </c>
    </row>
    <row r="29" spans="1:19" ht="31.5" customHeight="1" x14ac:dyDescent="0.2">
      <c r="A29" s="193">
        <v>731205</v>
      </c>
      <c r="B29" s="318">
        <v>705102</v>
      </c>
      <c r="C29" s="194" t="s">
        <v>354</v>
      </c>
      <c r="D29" s="195"/>
      <c r="E29" s="196">
        <v>0</v>
      </c>
      <c r="F29" s="196">
        <v>0</v>
      </c>
      <c r="G29" s="196">
        <v>0</v>
      </c>
      <c r="H29" s="317"/>
      <c r="I29" s="196"/>
      <c r="J29" s="197"/>
      <c r="K29" s="198"/>
      <c r="L29" s="196">
        <v>3000</v>
      </c>
      <c r="M29" s="196"/>
      <c r="N29" s="196"/>
      <c r="O29" s="196"/>
      <c r="P29" s="199" t="s">
        <v>1001</v>
      </c>
    </row>
    <row r="30" spans="1:19" ht="31.5" customHeight="1" x14ac:dyDescent="0.2">
      <c r="A30" s="193" t="s">
        <v>345</v>
      </c>
      <c r="B30" s="318">
        <v>705500</v>
      </c>
      <c r="C30" s="194" t="s">
        <v>344</v>
      </c>
      <c r="D30" s="195"/>
      <c r="E30" s="196">
        <v>1610</v>
      </c>
      <c r="F30" s="196">
        <v>2320</v>
      </c>
      <c r="G30" s="196">
        <v>2145</v>
      </c>
      <c r="H30" s="196">
        <v>1270</v>
      </c>
      <c r="I30" s="196">
        <v>1500</v>
      </c>
      <c r="J30" s="197">
        <f t="shared" si="5"/>
        <v>230</v>
      </c>
      <c r="K30" s="198">
        <f t="shared" si="6"/>
        <v>0.18110236220472442</v>
      </c>
      <c r="L30" s="196"/>
      <c r="M30" s="196"/>
      <c r="N30" s="196"/>
      <c r="O30" s="196"/>
      <c r="P30" s="199"/>
    </row>
    <row r="31" spans="1:19" ht="31.5" customHeight="1" x14ac:dyDescent="0.2">
      <c r="A31" s="193" t="s">
        <v>276</v>
      </c>
      <c r="B31" s="319">
        <v>706605</v>
      </c>
      <c r="C31" s="194" t="s">
        <v>275</v>
      </c>
      <c r="D31" s="195"/>
      <c r="E31" s="196">
        <v>649.12</v>
      </c>
      <c r="F31" s="196">
        <v>650.88</v>
      </c>
      <c r="G31" s="196">
        <v>54.17</v>
      </c>
      <c r="H31" s="196"/>
      <c r="I31" s="196"/>
      <c r="J31" s="197">
        <f t="shared" si="5"/>
        <v>0</v>
      </c>
      <c r="K31" s="198" t="e">
        <f t="shared" si="6"/>
        <v>#DIV/0!</v>
      </c>
      <c r="L31" s="196"/>
      <c r="M31" s="196"/>
      <c r="N31" s="196"/>
      <c r="O31" s="196"/>
      <c r="P31" s="199"/>
    </row>
    <row r="32" spans="1:19" ht="31.5" customHeight="1" x14ac:dyDescent="0.2">
      <c r="A32" s="193" t="s">
        <v>258</v>
      </c>
      <c r="B32" s="318">
        <v>707101</v>
      </c>
      <c r="C32" s="194" t="s">
        <v>257</v>
      </c>
      <c r="D32" s="195"/>
      <c r="E32" s="196"/>
      <c r="F32" s="196"/>
      <c r="G32" s="196">
        <v>595.83000000000004</v>
      </c>
      <c r="H32" s="196">
        <v>54</v>
      </c>
      <c r="I32" s="196"/>
      <c r="J32" s="197">
        <f t="shared" si="5"/>
        <v>-54</v>
      </c>
      <c r="K32" s="198">
        <f t="shared" si="6"/>
        <v>-1</v>
      </c>
      <c r="L32" s="196"/>
      <c r="M32" s="196"/>
      <c r="N32" s="196"/>
      <c r="O32" s="196"/>
      <c r="P32" s="199"/>
    </row>
    <row r="33" spans="1:16" ht="31.5" customHeight="1" x14ac:dyDescent="0.2">
      <c r="A33" s="193" t="s">
        <v>230</v>
      </c>
      <c r="B33" s="318">
        <v>707151</v>
      </c>
      <c r="C33" s="194" t="s">
        <v>15</v>
      </c>
      <c r="D33" s="195"/>
      <c r="E33" s="196">
        <v>254.52</v>
      </c>
      <c r="F33" s="196">
        <v>266.13</v>
      </c>
      <c r="G33" s="196">
        <v>270</v>
      </c>
      <c r="H33" s="196">
        <v>270</v>
      </c>
      <c r="I33" s="196">
        <v>270</v>
      </c>
      <c r="J33" s="197">
        <f t="shared" si="5"/>
        <v>0</v>
      </c>
      <c r="K33" s="198">
        <f t="shared" si="6"/>
        <v>0</v>
      </c>
      <c r="L33" s="196"/>
      <c r="M33" s="196"/>
      <c r="N33" s="196"/>
      <c r="O33" s="196"/>
      <c r="P33" s="199"/>
    </row>
    <row r="34" spans="1:16" ht="31.5" customHeight="1" x14ac:dyDescent="0.2">
      <c r="A34" s="193" t="s">
        <v>229</v>
      </c>
      <c r="B34" s="318">
        <v>707151</v>
      </c>
      <c r="C34" s="194" t="s">
        <v>16</v>
      </c>
      <c r="D34" s="195"/>
      <c r="E34" s="196">
        <v>12.36</v>
      </c>
      <c r="F34" s="196">
        <v>3.18</v>
      </c>
      <c r="G34" s="196">
        <v>2.64</v>
      </c>
      <c r="H34" s="196">
        <v>5</v>
      </c>
      <c r="I34" s="196">
        <v>5</v>
      </c>
      <c r="J34" s="197">
        <f t="shared" si="5"/>
        <v>0</v>
      </c>
      <c r="K34" s="198">
        <f t="shared" si="6"/>
        <v>0</v>
      </c>
      <c r="L34" s="196"/>
      <c r="M34" s="196"/>
      <c r="N34" s="196"/>
      <c r="O34" s="196"/>
      <c r="P34" s="199"/>
    </row>
    <row r="35" spans="1:16" ht="31.5" customHeight="1" x14ac:dyDescent="0.2">
      <c r="A35" s="193" t="s">
        <v>203</v>
      </c>
      <c r="B35" s="318">
        <v>707301</v>
      </c>
      <c r="C35" s="194" t="s">
        <v>18</v>
      </c>
      <c r="D35" s="195"/>
      <c r="E35" s="196">
        <v>7545</v>
      </c>
      <c r="F35" s="196">
        <v>8262</v>
      </c>
      <c r="G35" s="196">
        <v>4858</v>
      </c>
      <c r="H35" s="196">
        <v>4780</v>
      </c>
      <c r="I35" s="196">
        <v>5000</v>
      </c>
      <c r="J35" s="197">
        <f t="shared" si="5"/>
        <v>220</v>
      </c>
      <c r="K35" s="198">
        <f t="shared" si="6"/>
        <v>4.6025104602510462E-2</v>
      </c>
      <c r="L35" s="196"/>
      <c r="M35" s="196"/>
      <c r="N35" s="196"/>
      <c r="O35" s="196"/>
      <c r="P35" s="199"/>
    </row>
    <row r="36" spans="1:16" ht="31.5" customHeight="1" x14ac:dyDescent="0.2">
      <c r="A36" s="193"/>
      <c r="B36" s="193"/>
      <c r="C36" s="194"/>
      <c r="D36" s="195"/>
      <c r="E36" s="196"/>
      <c r="F36" s="196"/>
      <c r="G36" s="196"/>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13.5" thickBot="1" x14ac:dyDescent="0.25">
      <c r="A39" s="200"/>
      <c r="B39" s="200"/>
      <c r="C39" s="177" t="s">
        <v>22</v>
      </c>
      <c r="D39" s="201"/>
      <c r="E39" s="180">
        <f>SUM(E21:E38)</f>
        <v>110458.04999999999</v>
      </c>
      <c r="F39" s="180">
        <f>SUM(F21:F38)</f>
        <v>129755.45</v>
      </c>
      <c r="G39" s="180">
        <f>SUM(G21:G38)</f>
        <v>99232.05</v>
      </c>
      <c r="H39" s="180">
        <f>SUM(H21:H38)</f>
        <v>163103</v>
      </c>
      <c r="I39" s="180">
        <f>SUM(I21:I38)</f>
        <v>141075</v>
      </c>
      <c r="J39" s="180">
        <f t="shared" si="5"/>
        <v>-22028</v>
      </c>
      <c r="K39" s="181">
        <f t="shared" si="6"/>
        <v>-0.13505576230970615</v>
      </c>
      <c r="L39" s="180">
        <f>SUM(L21:L38)</f>
        <v>4000</v>
      </c>
      <c r="M39" s="180">
        <f>SUM(M21:M38)</f>
        <v>0</v>
      </c>
      <c r="N39" s="180">
        <f>SUM(N21:N38)</f>
        <v>0</v>
      </c>
      <c r="O39" s="180">
        <f>SUM(O21:O38)</f>
        <v>4232</v>
      </c>
      <c r="P39" s="202"/>
    </row>
    <row r="40" spans="1:16" ht="13.5" thickBot="1" x14ac:dyDescent="0.25">
      <c r="A40" s="203"/>
      <c r="B40" s="203"/>
      <c r="C40" s="204" t="s">
        <v>702</v>
      </c>
      <c r="D40" s="205"/>
      <c r="E40" s="206">
        <f>E18+E39</f>
        <v>120646.27999999998</v>
      </c>
      <c r="F40" s="206">
        <f>F18+F39</f>
        <v>139740.96</v>
      </c>
      <c r="G40" s="206">
        <f>G18+G39</f>
        <v>109227.3</v>
      </c>
      <c r="H40" s="206">
        <f>H18+H39</f>
        <v>173098</v>
      </c>
      <c r="I40" s="206">
        <f>I18+I39</f>
        <v>151070</v>
      </c>
      <c r="J40" s="206">
        <f>I40-H40</f>
        <v>-22028</v>
      </c>
      <c r="K40" s="207">
        <f>(I40-H40)/H40</f>
        <v>-0.12725739176651377</v>
      </c>
      <c r="L40" s="206">
        <f>L18+L39</f>
        <v>4000</v>
      </c>
      <c r="M40" s="206">
        <f>M18+M39</f>
        <v>0</v>
      </c>
      <c r="N40" s="206">
        <f>N18+N39</f>
        <v>0</v>
      </c>
      <c r="O40" s="206">
        <f>O18+O39</f>
        <v>4232</v>
      </c>
      <c r="P40" s="208"/>
    </row>
    <row r="41" spans="1:16" x14ac:dyDescent="0.2">
      <c r="A41" s="203"/>
      <c r="B41" s="203"/>
      <c r="C41" s="209" t="s">
        <v>698</v>
      </c>
      <c r="D41" s="210"/>
      <c r="E41" s="211"/>
      <c r="F41" s="211"/>
      <c r="G41" s="211"/>
      <c r="H41" s="212">
        <v>0</v>
      </c>
      <c r="I41" s="213"/>
      <c r="J41" s="213"/>
      <c r="K41" s="214"/>
      <c r="L41" s="213"/>
      <c r="M41" s="213"/>
      <c r="N41" s="213"/>
      <c r="O41" s="213"/>
      <c r="P41" s="215"/>
    </row>
    <row r="42" spans="1:16" x14ac:dyDescent="0.2">
      <c r="A42" s="203"/>
      <c r="B42" s="203"/>
      <c r="C42" s="183" t="s">
        <v>699</v>
      </c>
      <c r="D42" s="184"/>
      <c r="E42" s="216"/>
      <c r="F42" s="216"/>
      <c r="G42" s="216"/>
      <c r="H42" s="185">
        <v>66510</v>
      </c>
      <c r="I42" s="217"/>
      <c r="J42" s="217"/>
      <c r="K42" s="218"/>
      <c r="L42" s="217"/>
      <c r="M42" s="217"/>
      <c r="N42" s="217"/>
      <c r="O42" s="217"/>
      <c r="P42" s="219"/>
    </row>
    <row r="43" spans="1:16" x14ac:dyDescent="0.2">
      <c r="A43" s="203"/>
      <c r="B43" s="203"/>
      <c r="C43" s="183" t="s">
        <v>700</v>
      </c>
      <c r="D43" s="184"/>
      <c r="E43" s="216"/>
      <c r="F43" s="216"/>
      <c r="G43" s="216"/>
      <c r="H43" s="220">
        <f>H41-H10</f>
        <v>0</v>
      </c>
      <c r="I43" s="217"/>
      <c r="J43" s="217"/>
      <c r="K43" s="218"/>
      <c r="L43" s="217"/>
      <c r="M43" s="217"/>
      <c r="N43" s="217"/>
      <c r="O43" s="217"/>
      <c r="P43" s="219"/>
    </row>
    <row r="44" spans="1:16" x14ac:dyDescent="0.2">
      <c r="A44" s="221"/>
      <c r="B44" s="221"/>
      <c r="C44" s="183" t="s">
        <v>701</v>
      </c>
      <c r="D44" s="184"/>
      <c r="E44" s="217"/>
      <c r="F44" s="217"/>
      <c r="G44" s="217"/>
      <c r="H44" s="220">
        <f>H42-H40</f>
        <v>-106588</v>
      </c>
      <c r="I44" s="217"/>
      <c r="J44" s="217"/>
      <c r="K44" s="218"/>
      <c r="L44" s="217"/>
      <c r="M44" s="217"/>
      <c r="N44" s="217"/>
      <c r="O44" s="217"/>
      <c r="P44" s="219"/>
    </row>
    <row r="46" spans="1:16" s="157" customFormat="1" ht="27" customHeight="1" thickBot="1" x14ac:dyDescent="0.25">
      <c r="A46" s="158" t="s">
        <v>687</v>
      </c>
      <c r="B46" s="158" t="s">
        <v>687</v>
      </c>
      <c r="M46" s="406" t="s">
        <v>690</v>
      </c>
      <c r="N46" s="406"/>
      <c r="O46" s="406"/>
    </row>
    <row r="47" spans="1:16" s="157" customFormat="1" ht="51.75" thickBot="1" x14ac:dyDescent="0.25">
      <c r="A47" s="225"/>
      <c r="B47" s="225"/>
      <c r="C47" s="229" t="s">
        <v>633</v>
      </c>
      <c r="D47" s="249"/>
      <c r="E47" s="234" t="s">
        <v>749</v>
      </c>
      <c r="F47" s="234" t="s">
        <v>750</v>
      </c>
      <c r="G47" s="234" t="s">
        <v>751</v>
      </c>
      <c r="H47" s="294" t="s">
        <v>747</v>
      </c>
      <c r="I47" s="234" t="s">
        <v>748</v>
      </c>
      <c r="J47" s="234" t="s">
        <v>745</v>
      </c>
      <c r="K47" s="295" t="s">
        <v>641</v>
      </c>
      <c r="M47" s="145"/>
      <c r="N47" s="145" t="s">
        <v>693</v>
      </c>
      <c r="O47" s="145" t="s">
        <v>694</v>
      </c>
    </row>
    <row r="48" spans="1:16" s="157" customFormat="1" x14ac:dyDescent="0.2">
      <c r="A48" s="225"/>
      <c r="B48" s="225"/>
      <c r="C48" s="194" t="s">
        <v>970</v>
      </c>
      <c r="D48" s="336"/>
      <c r="E48" s="226"/>
      <c r="F48" s="226"/>
      <c r="G48" s="226"/>
      <c r="H48" s="226">
        <v>106588</v>
      </c>
      <c r="I48" s="226">
        <v>85410</v>
      </c>
      <c r="J48" s="227">
        <f>I48-H48</f>
        <v>-21178</v>
      </c>
      <c r="K48" s="228">
        <f>(I48-H48)/H48</f>
        <v>-0.19869028408451234</v>
      </c>
      <c r="M48" s="146" t="s">
        <v>691</v>
      </c>
      <c r="N48" s="146">
        <v>2</v>
      </c>
      <c r="O48" s="146">
        <v>0</v>
      </c>
    </row>
    <row r="49" spans="13:15" s="157" customFormat="1" x14ac:dyDescent="0.2">
      <c r="M49" s="146" t="s">
        <v>692</v>
      </c>
      <c r="N49" s="146"/>
      <c r="O49" s="146"/>
    </row>
    <row r="50" spans="13:15" s="157" customFormat="1" x14ac:dyDescent="0.2">
      <c r="M50" s="146" t="s">
        <v>23</v>
      </c>
      <c r="N50" s="146">
        <f>SUM(N48:N49)</f>
        <v>2</v>
      </c>
      <c r="O50" s="146">
        <f>SUM(O48:O49)</f>
        <v>0</v>
      </c>
    </row>
    <row r="51" spans="13:15" s="157" customFormat="1" x14ac:dyDescent="0.2"/>
    <row r="52" spans="13:15" s="157" customFormat="1" x14ac:dyDescent="0.2"/>
    <row r="53" spans="13:15" s="157" customFormat="1" x14ac:dyDescent="0.2"/>
  </sheetData>
  <mergeCells count="2">
    <mergeCell ref="L3:N3"/>
    <mergeCell ref="M46:O46"/>
  </mergeCells>
  <pageMargins left="0.25" right="0.25" top="0.67708333333333304" bottom="0.35416666666666702" header="0.3" footer="0.3"/>
  <pageSetup paperSize="5" scale="49" orientation="landscape" r:id="rId1"/>
  <headerFooter>
    <oddHeader>&amp;C&amp;"Calibri,Bold"&amp;A</oddHeader>
    <oddFooter>&amp;Rprinted:  &amp;D&amp;T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0"/>
  <sheetViews>
    <sheetView showGridLines="0" topLeftCell="A37"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846</v>
      </c>
      <c r="O1" s="164"/>
    </row>
    <row r="2" spans="1:19" ht="23.25" customHeight="1" thickBot="1" x14ac:dyDescent="0.3">
      <c r="A2" s="290" t="s">
        <v>810</v>
      </c>
      <c r="B2" s="232"/>
      <c r="C2" s="292" t="s">
        <v>847</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231164.09+1201.93+159619.21</f>
        <v>391985.23</v>
      </c>
      <c r="F6" s="171">
        <f>124602.68+12548.09+221541.95</f>
        <v>358692.72</v>
      </c>
      <c r="G6" s="171">
        <f>105775.46+7884.63+158187.01+45965.78</f>
        <v>317812.88</v>
      </c>
      <c r="H6" s="171">
        <f>SUM('FT Salaries'!E46)</f>
        <v>326080.07</v>
      </c>
      <c r="I6" s="172">
        <f>SUM(H6)</f>
        <v>326080.07</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391985.23</v>
      </c>
      <c r="F8" s="179">
        <f>SUM(F6:F7)</f>
        <v>358692.72</v>
      </c>
      <c r="G8" s="179">
        <f>SUM(G6:G7)</f>
        <v>317812.88</v>
      </c>
      <c r="H8" s="179">
        <f>SUM(H6:H7)</f>
        <v>326080.07</v>
      </c>
      <c r="I8" s="179">
        <f>SUM(I6:I7)</f>
        <v>326080.07</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126000</v>
      </c>
      <c r="F12" s="171">
        <v>49000</v>
      </c>
      <c r="G12" s="171">
        <v>52500</v>
      </c>
      <c r="H12" s="171">
        <v>37500</v>
      </c>
      <c r="I12" s="172">
        <v>37500</v>
      </c>
      <c r="J12" s="173">
        <f t="shared" si="1"/>
        <v>0</v>
      </c>
      <c r="K12" s="174">
        <f t="shared" ref="K12:K18" si="2">(I12-H12)/H12</f>
        <v>0</v>
      </c>
      <c r="L12" s="172"/>
      <c r="M12" s="175"/>
      <c r="N12" s="175"/>
      <c r="O12" s="175"/>
      <c r="P12" s="147"/>
      <c r="Q12" s="157"/>
      <c r="R12" s="157"/>
      <c r="S12" s="157"/>
    </row>
    <row r="13" spans="1:19" x14ac:dyDescent="0.2">
      <c r="A13" s="169" t="s">
        <v>591</v>
      </c>
      <c r="B13" s="318">
        <v>601307</v>
      </c>
      <c r="C13" s="146" t="s">
        <v>590</v>
      </c>
      <c r="D13" s="170"/>
      <c r="E13" s="171">
        <v>125.9</v>
      </c>
      <c r="F13" s="171">
        <v>5015.1500000000005</v>
      </c>
      <c r="G13" s="171">
        <v>5219.66</v>
      </c>
      <c r="H13" s="171">
        <v>7996</v>
      </c>
      <c r="I13" s="172">
        <v>8000</v>
      </c>
      <c r="J13" s="173">
        <f t="shared" si="1"/>
        <v>4</v>
      </c>
      <c r="K13" s="174">
        <f t="shared" si="2"/>
        <v>5.0025012506253123E-4</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126125.9</v>
      </c>
      <c r="F18" s="185">
        <f t="shared" ref="F18:I18" si="3">SUM(F12:F17)</f>
        <v>54015.15</v>
      </c>
      <c r="G18" s="185">
        <f t="shared" si="3"/>
        <v>57719.66</v>
      </c>
      <c r="H18" s="185">
        <f t="shared" si="3"/>
        <v>45496</v>
      </c>
      <c r="I18" s="185">
        <f t="shared" si="3"/>
        <v>45500</v>
      </c>
      <c r="J18" s="185">
        <f t="shared" si="1"/>
        <v>4</v>
      </c>
      <c r="K18" s="186">
        <f t="shared" si="2"/>
        <v>8.7919817126780379E-5</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348</v>
      </c>
      <c r="F21" s="196"/>
      <c r="G21" s="196"/>
      <c r="H21" s="196"/>
      <c r="I21" s="196"/>
      <c r="J21" s="197">
        <f t="shared" ref="J21:J46" si="5">I21-H21</f>
        <v>0</v>
      </c>
      <c r="K21" s="198" t="e">
        <f t="shared" ref="K21:K46" si="6">(I21-H21)/H21</f>
        <v>#DIV/0!</v>
      </c>
      <c r="L21" s="196"/>
      <c r="M21" s="196"/>
      <c r="N21" s="196"/>
      <c r="O21" s="196"/>
      <c r="P21" s="199"/>
    </row>
    <row r="22" spans="1:19" ht="31.5" customHeight="1" x14ac:dyDescent="0.2">
      <c r="A22" s="193" t="s">
        <v>416</v>
      </c>
      <c r="B22" s="318">
        <v>702200</v>
      </c>
      <c r="C22" s="194" t="s">
        <v>11</v>
      </c>
      <c r="D22" s="195"/>
      <c r="E22" s="196">
        <v>18566.39</v>
      </c>
      <c r="F22" s="196">
        <v>25096.21</v>
      </c>
      <c r="G22" s="196">
        <v>19121.09</v>
      </c>
      <c r="H22" s="196">
        <v>18498</v>
      </c>
      <c r="I22" s="196">
        <v>23174</v>
      </c>
      <c r="J22" s="197">
        <f t="shared" si="5"/>
        <v>4676</v>
      </c>
      <c r="K22" s="198">
        <f t="shared" si="6"/>
        <v>0.25278408476592062</v>
      </c>
      <c r="L22" s="196"/>
      <c r="M22" s="196"/>
      <c r="N22" s="196"/>
      <c r="O22" s="196">
        <v>6593</v>
      </c>
      <c r="P22" s="199" t="s">
        <v>1056</v>
      </c>
    </row>
    <row r="23" spans="1:19" ht="31.5" customHeight="1" x14ac:dyDescent="0.2">
      <c r="A23" s="193" t="s">
        <v>391</v>
      </c>
      <c r="B23" s="319">
        <v>701302</v>
      </c>
      <c r="C23" s="194" t="s">
        <v>390</v>
      </c>
      <c r="D23" s="195"/>
      <c r="E23" s="196"/>
      <c r="F23" s="196"/>
      <c r="G23" s="196">
        <v>525</v>
      </c>
      <c r="H23" s="196"/>
      <c r="I23" s="196"/>
      <c r="J23" s="197">
        <f t="shared" si="5"/>
        <v>0</v>
      </c>
      <c r="K23" s="198" t="e">
        <f t="shared" si="6"/>
        <v>#DIV/0!</v>
      </c>
      <c r="L23" s="196"/>
      <c r="M23" s="196"/>
      <c r="N23" s="196"/>
      <c r="O23" s="196"/>
      <c r="P23" s="199"/>
    </row>
    <row r="24" spans="1:19" ht="31.5" customHeight="1" x14ac:dyDescent="0.2">
      <c r="A24" s="193" t="s">
        <v>387</v>
      </c>
      <c r="B24" s="318">
        <v>701406</v>
      </c>
      <c r="C24" s="194" t="s">
        <v>386</v>
      </c>
      <c r="D24" s="195"/>
      <c r="E24" s="196">
        <v>40882</v>
      </c>
      <c r="F24" s="196">
        <v>35225</v>
      </c>
      <c r="G24" s="196">
        <v>37475</v>
      </c>
      <c r="H24" s="196">
        <v>37300</v>
      </c>
      <c r="I24" s="196">
        <v>40150</v>
      </c>
      <c r="J24" s="197">
        <f t="shared" si="5"/>
        <v>2850</v>
      </c>
      <c r="K24" s="198">
        <f t="shared" si="6"/>
        <v>7.6407506702412864E-2</v>
      </c>
      <c r="L24" s="196"/>
      <c r="M24" s="196"/>
      <c r="N24" s="196"/>
      <c r="O24" s="196"/>
      <c r="P24" s="199"/>
    </row>
    <row r="25" spans="1:19" ht="31.5" customHeight="1" x14ac:dyDescent="0.2">
      <c r="A25" s="193" t="s">
        <v>377</v>
      </c>
      <c r="B25" s="318">
        <v>701500</v>
      </c>
      <c r="C25" s="194" t="s">
        <v>376</v>
      </c>
      <c r="D25" s="195"/>
      <c r="E25" s="196">
        <v>450</v>
      </c>
      <c r="F25" s="196">
        <v>450</v>
      </c>
      <c r="G25" s="196">
        <v>940</v>
      </c>
      <c r="H25" s="196">
        <v>560</v>
      </c>
      <c r="I25" s="196">
        <v>940</v>
      </c>
      <c r="J25" s="197">
        <f t="shared" si="5"/>
        <v>380</v>
      </c>
      <c r="K25" s="198">
        <f t="shared" si="6"/>
        <v>0.6785714285714286</v>
      </c>
      <c r="L25" s="196"/>
      <c r="M25" s="196"/>
      <c r="N25" s="196"/>
      <c r="O25" s="196"/>
      <c r="P25" s="199"/>
    </row>
    <row r="26" spans="1:19" ht="31.5" customHeight="1" x14ac:dyDescent="0.2">
      <c r="A26" s="193" t="s">
        <v>375</v>
      </c>
      <c r="B26" s="318">
        <v>701501</v>
      </c>
      <c r="C26" s="194" t="s">
        <v>374</v>
      </c>
      <c r="D26" s="195"/>
      <c r="E26" s="196">
        <v>1315</v>
      </c>
      <c r="F26" s="196">
        <v>1610</v>
      </c>
      <c r="G26" s="196">
        <v>2693.15</v>
      </c>
      <c r="H26" s="196">
        <v>2196</v>
      </c>
      <c r="I26" s="196">
        <v>2196</v>
      </c>
      <c r="J26" s="197">
        <f t="shared" ref="J26:J30" si="7">I26-H26</f>
        <v>0</v>
      </c>
      <c r="K26" s="198">
        <f t="shared" ref="K26:K30" si="8">(I26-H26)/H26</f>
        <v>0</v>
      </c>
      <c r="L26" s="196"/>
      <c r="M26" s="196"/>
      <c r="N26" s="196"/>
      <c r="O26" s="196"/>
      <c r="P26" s="199"/>
    </row>
    <row r="27" spans="1:19" ht="31.5" customHeight="1" x14ac:dyDescent="0.2">
      <c r="A27" s="193" t="s">
        <v>363</v>
      </c>
      <c r="B27" s="318">
        <v>701603</v>
      </c>
      <c r="C27" s="194" t="s">
        <v>362</v>
      </c>
      <c r="D27" s="195"/>
      <c r="E27" s="196">
        <v>73.25</v>
      </c>
      <c r="F27" s="196">
        <v>300</v>
      </c>
      <c r="G27" s="196"/>
      <c r="H27" s="196">
        <v>880</v>
      </c>
      <c r="I27" s="196">
        <v>880</v>
      </c>
      <c r="J27" s="197">
        <f t="shared" si="7"/>
        <v>0</v>
      </c>
      <c r="K27" s="198">
        <f t="shared" si="8"/>
        <v>0</v>
      </c>
      <c r="L27" s="196"/>
      <c r="M27" s="196"/>
      <c r="N27" s="196"/>
      <c r="O27" s="196"/>
      <c r="P27" s="199"/>
    </row>
    <row r="28" spans="1:19" ht="31.5" customHeight="1" x14ac:dyDescent="0.2">
      <c r="A28" s="193" t="s">
        <v>361</v>
      </c>
      <c r="B28" s="318">
        <v>705001</v>
      </c>
      <c r="C28" s="194" t="s">
        <v>360</v>
      </c>
      <c r="D28" s="195"/>
      <c r="E28" s="196">
        <v>2434.39</v>
      </c>
      <c r="F28" s="196">
        <v>2240.59</v>
      </c>
      <c r="G28" s="196">
        <v>6947.39</v>
      </c>
      <c r="H28" s="196">
        <v>3675</v>
      </c>
      <c r="I28" s="196">
        <v>3486</v>
      </c>
      <c r="J28" s="197">
        <f t="shared" si="7"/>
        <v>-189</v>
      </c>
      <c r="K28" s="198">
        <f t="shared" si="8"/>
        <v>-5.1428571428571428E-2</v>
      </c>
      <c r="L28" s="196"/>
      <c r="M28" s="196"/>
      <c r="N28" s="196"/>
      <c r="O28" s="196"/>
      <c r="P28" s="199"/>
    </row>
    <row r="29" spans="1:19" ht="31.5" customHeight="1" x14ac:dyDescent="0.2">
      <c r="A29" s="193" t="s">
        <v>359</v>
      </c>
      <c r="B29" s="318">
        <v>705101</v>
      </c>
      <c r="C29" s="194" t="s">
        <v>358</v>
      </c>
      <c r="D29" s="195"/>
      <c r="E29" s="196">
        <v>69200.42</v>
      </c>
      <c r="F29" s="196">
        <v>81150.680000000008</v>
      </c>
      <c r="G29" s="196">
        <v>126297.83</v>
      </c>
      <c r="H29" s="196">
        <v>143303</v>
      </c>
      <c r="I29" s="196">
        <v>122488</v>
      </c>
      <c r="J29" s="197">
        <f t="shared" si="7"/>
        <v>-20815</v>
      </c>
      <c r="K29" s="198">
        <f t="shared" si="8"/>
        <v>-0.14525166953936763</v>
      </c>
      <c r="L29" s="196"/>
      <c r="M29" s="196"/>
      <c r="N29" s="196"/>
      <c r="O29" s="196"/>
      <c r="P29" s="199"/>
    </row>
    <row r="30" spans="1:19" ht="31.5" customHeight="1" x14ac:dyDescent="0.2">
      <c r="A30" s="193" t="s">
        <v>357</v>
      </c>
      <c r="B30" s="318">
        <v>705002</v>
      </c>
      <c r="C30" s="194" t="s">
        <v>356</v>
      </c>
      <c r="D30" s="195"/>
      <c r="E30" s="196">
        <v>9069.4600000000009</v>
      </c>
      <c r="F30" s="196">
        <v>9572.57</v>
      </c>
      <c r="G30" s="196">
        <v>2752.71</v>
      </c>
      <c r="H30" s="196">
        <v>10582</v>
      </c>
      <c r="I30" s="196"/>
      <c r="J30" s="197">
        <f t="shared" si="7"/>
        <v>-10582</v>
      </c>
      <c r="K30" s="198">
        <f t="shared" si="8"/>
        <v>-1</v>
      </c>
      <c r="L30" s="196">
        <v>7500</v>
      </c>
      <c r="M30" s="196"/>
      <c r="N30" s="196"/>
      <c r="O30" s="196"/>
      <c r="P30" s="199" t="s">
        <v>1001</v>
      </c>
    </row>
    <row r="31" spans="1:19" ht="31.5" customHeight="1" x14ac:dyDescent="0.2">
      <c r="A31" s="193" t="s">
        <v>355</v>
      </c>
      <c r="B31" s="318">
        <v>705102</v>
      </c>
      <c r="C31" s="194" t="s">
        <v>354</v>
      </c>
      <c r="D31" s="195"/>
      <c r="E31" s="196">
        <v>22141.360000000001</v>
      </c>
      <c r="F31" s="196">
        <v>28270.73</v>
      </c>
      <c r="G31" s="196">
        <v>19575.89</v>
      </c>
      <c r="H31" s="196">
        <v>26584</v>
      </c>
      <c r="I31" s="196"/>
      <c r="J31" s="197">
        <f t="shared" si="5"/>
        <v>-26584</v>
      </c>
      <c r="K31" s="198">
        <f t="shared" si="6"/>
        <v>-1</v>
      </c>
      <c r="L31" s="196">
        <v>22500</v>
      </c>
      <c r="M31" s="196"/>
      <c r="N31" s="196"/>
      <c r="O31" s="196"/>
      <c r="P31" s="199" t="s">
        <v>1001</v>
      </c>
    </row>
    <row r="32" spans="1:19" ht="31.5" customHeight="1" x14ac:dyDescent="0.2">
      <c r="A32" s="193" t="s">
        <v>349</v>
      </c>
      <c r="B32" s="318">
        <v>705100</v>
      </c>
      <c r="C32" s="194" t="s">
        <v>348</v>
      </c>
      <c r="D32" s="195"/>
      <c r="E32" s="196">
        <v>0</v>
      </c>
      <c r="F32" s="196">
        <v>0</v>
      </c>
      <c r="G32" s="196">
        <v>-4.25</v>
      </c>
      <c r="H32" s="196"/>
      <c r="I32" s="196"/>
      <c r="J32" s="197">
        <f t="shared" ref="J32:J35" si="9">I32-H32</f>
        <v>0</v>
      </c>
      <c r="K32" s="198" t="e">
        <f t="shared" ref="K32:K35" si="10">(I32-H32)/H32</f>
        <v>#DIV/0!</v>
      </c>
      <c r="L32" s="196"/>
      <c r="M32" s="196"/>
      <c r="N32" s="196"/>
      <c r="O32" s="196"/>
      <c r="P32" s="199"/>
    </row>
    <row r="33" spans="1:16" ht="31.5" customHeight="1" x14ac:dyDescent="0.2">
      <c r="A33" s="193" t="s">
        <v>345</v>
      </c>
      <c r="B33" s="318">
        <v>705500</v>
      </c>
      <c r="C33" s="194" t="s">
        <v>344</v>
      </c>
      <c r="D33" s="195"/>
      <c r="E33" s="196">
        <v>7083.64</v>
      </c>
      <c r="F33" s="196">
        <v>5985.7</v>
      </c>
      <c r="G33" s="196">
        <v>5769.2</v>
      </c>
      <c r="H33" s="196">
        <v>5423</v>
      </c>
      <c r="I33" s="196">
        <v>5738</v>
      </c>
      <c r="J33" s="197">
        <f t="shared" si="9"/>
        <v>315</v>
      </c>
      <c r="K33" s="198">
        <f t="shared" si="10"/>
        <v>5.8085930296883644E-2</v>
      </c>
      <c r="L33" s="196"/>
      <c r="M33" s="196"/>
      <c r="N33" s="196"/>
      <c r="O33" s="196"/>
      <c r="P33" s="199"/>
    </row>
    <row r="34" spans="1:16" ht="31.5" customHeight="1" x14ac:dyDescent="0.2">
      <c r="A34" s="193" t="s">
        <v>309</v>
      </c>
      <c r="B34" s="318">
        <v>706100</v>
      </c>
      <c r="C34" s="194" t="s">
        <v>308</v>
      </c>
      <c r="D34" s="195"/>
      <c r="E34" s="196"/>
      <c r="F34" s="196">
        <v>0</v>
      </c>
      <c r="G34" s="196">
        <v>37.550000000000004</v>
      </c>
      <c r="H34" s="196"/>
      <c r="I34" s="196"/>
      <c r="J34" s="197">
        <f t="shared" si="9"/>
        <v>0</v>
      </c>
      <c r="K34" s="198" t="e">
        <f t="shared" si="10"/>
        <v>#DIV/0!</v>
      </c>
      <c r="L34" s="196"/>
      <c r="M34" s="196"/>
      <c r="N34" s="196"/>
      <c r="O34" s="196"/>
      <c r="P34" s="199"/>
    </row>
    <row r="35" spans="1:16" ht="31.5" customHeight="1" x14ac:dyDescent="0.2">
      <c r="A35" s="193" t="s">
        <v>276</v>
      </c>
      <c r="B35" s="319">
        <v>706605</v>
      </c>
      <c r="C35" s="194" t="s">
        <v>275</v>
      </c>
      <c r="D35" s="195"/>
      <c r="E35" s="196">
        <v>649.12</v>
      </c>
      <c r="F35" s="196">
        <v>650.88</v>
      </c>
      <c r="G35" s="196">
        <v>54.17</v>
      </c>
      <c r="H35" s="196"/>
      <c r="I35" s="196"/>
      <c r="J35" s="197">
        <f t="shared" si="9"/>
        <v>0</v>
      </c>
      <c r="K35" s="198" t="e">
        <f t="shared" si="10"/>
        <v>#DIV/0!</v>
      </c>
      <c r="L35" s="196"/>
      <c r="M35" s="196"/>
      <c r="N35" s="196"/>
      <c r="O35" s="196"/>
      <c r="P35" s="199"/>
    </row>
    <row r="36" spans="1:16" ht="31.5" customHeight="1" x14ac:dyDescent="0.2">
      <c r="A36" s="193" t="s">
        <v>258</v>
      </c>
      <c r="B36" s="318">
        <v>707101</v>
      </c>
      <c r="C36" s="194" t="s">
        <v>257</v>
      </c>
      <c r="D36" s="195"/>
      <c r="E36" s="196">
        <v>6500</v>
      </c>
      <c r="F36" s="196">
        <v>9125</v>
      </c>
      <c r="G36" s="196">
        <v>9970.83</v>
      </c>
      <c r="H36" s="196">
        <v>10003</v>
      </c>
      <c r="I36" s="196">
        <v>10003</v>
      </c>
      <c r="J36" s="197">
        <f t="shared" si="5"/>
        <v>0</v>
      </c>
      <c r="K36" s="198">
        <f t="shared" si="6"/>
        <v>0</v>
      </c>
      <c r="L36" s="196"/>
      <c r="M36" s="196"/>
      <c r="N36" s="196"/>
      <c r="O36" s="196"/>
      <c r="P36" s="199"/>
    </row>
    <row r="37" spans="1:16" ht="31.5" customHeight="1" x14ac:dyDescent="0.2">
      <c r="A37" s="193" t="s">
        <v>244</v>
      </c>
      <c r="B37" s="318">
        <v>707001</v>
      </c>
      <c r="C37" s="194" t="s">
        <v>243</v>
      </c>
      <c r="D37" s="195"/>
      <c r="E37" s="196">
        <v>299.99</v>
      </c>
      <c r="F37" s="196">
        <v>0</v>
      </c>
      <c r="G37" s="196"/>
      <c r="H37" s="196"/>
      <c r="I37" s="196"/>
      <c r="J37" s="197">
        <f t="shared" si="5"/>
        <v>0</v>
      </c>
      <c r="K37" s="198" t="e">
        <f t="shared" si="6"/>
        <v>#DIV/0!</v>
      </c>
      <c r="L37" s="196"/>
      <c r="M37" s="196"/>
      <c r="N37" s="196"/>
      <c r="O37" s="196"/>
      <c r="P37" s="199"/>
    </row>
    <row r="38" spans="1:16" ht="31.5" customHeight="1" x14ac:dyDescent="0.2">
      <c r="A38" s="193" t="s">
        <v>232</v>
      </c>
      <c r="B38" s="318">
        <v>707152</v>
      </c>
      <c r="C38" s="194" t="s">
        <v>231</v>
      </c>
      <c r="D38" s="195"/>
      <c r="E38" s="196">
        <v>3158.03</v>
      </c>
      <c r="F38" s="196">
        <v>3791.9500000000003</v>
      </c>
      <c r="G38" s="196">
        <v>2821.36</v>
      </c>
      <c r="H38" s="196">
        <v>2280</v>
      </c>
      <c r="I38" s="196">
        <v>2280</v>
      </c>
      <c r="J38" s="197">
        <f t="shared" si="5"/>
        <v>0</v>
      </c>
      <c r="K38" s="198">
        <f t="shared" si="6"/>
        <v>0</v>
      </c>
      <c r="L38" s="196"/>
      <c r="M38" s="196"/>
      <c r="N38" s="196"/>
      <c r="O38" s="196"/>
      <c r="P38" s="199"/>
    </row>
    <row r="39" spans="1:16" ht="31.5" customHeight="1" x14ac:dyDescent="0.2">
      <c r="A39" s="193" t="s">
        <v>230</v>
      </c>
      <c r="B39" s="318">
        <v>707151</v>
      </c>
      <c r="C39" s="194" t="s">
        <v>15</v>
      </c>
      <c r="D39" s="195"/>
      <c r="E39" s="196">
        <v>540</v>
      </c>
      <c r="F39" s="196">
        <v>585</v>
      </c>
      <c r="G39" s="196">
        <v>600</v>
      </c>
      <c r="H39" s="196">
        <v>600</v>
      </c>
      <c r="I39" s="196">
        <v>600</v>
      </c>
      <c r="J39" s="197">
        <f t="shared" si="5"/>
        <v>0</v>
      </c>
      <c r="K39" s="198">
        <f t="shared" si="6"/>
        <v>0</v>
      </c>
      <c r="L39" s="196"/>
      <c r="M39" s="196"/>
      <c r="N39" s="196"/>
      <c r="O39" s="196"/>
      <c r="P39" s="199"/>
    </row>
    <row r="40" spans="1:16" ht="31.5" customHeight="1" x14ac:dyDescent="0.2">
      <c r="A40" s="193" t="s">
        <v>229</v>
      </c>
      <c r="B40" s="318">
        <v>707151</v>
      </c>
      <c r="C40" s="194" t="s">
        <v>16</v>
      </c>
      <c r="D40" s="195"/>
      <c r="E40" s="196">
        <v>76.03</v>
      </c>
      <c r="F40" s="196">
        <v>54.04</v>
      </c>
      <c r="G40" s="196">
        <v>19.38</v>
      </c>
      <c r="H40" s="196">
        <v>20</v>
      </c>
      <c r="I40" s="196">
        <v>20</v>
      </c>
      <c r="J40" s="197">
        <f t="shared" si="5"/>
        <v>0</v>
      </c>
      <c r="K40" s="198">
        <f t="shared" si="6"/>
        <v>0</v>
      </c>
      <c r="L40" s="196"/>
      <c r="M40" s="196"/>
      <c r="N40" s="196"/>
      <c r="O40" s="196"/>
      <c r="P40" s="199"/>
    </row>
    <row r="41" spans="1:16" ht="31.5" customHeight="1" x14ac:dyDescent="0.2">
      <c r="A41" s="193" t="s">
        <v>203</v>
      </c>
      <c r="B41" s="318">
        <v>707301</v>
      </c>
      <c r="C41" s="194" t="s">
        <v>18</v>
      </c>
      <c r="D41" s="195"/>
      <c r="E41" s="196">
        <v>7705.5</v>
      </c>
      <c r="F41" s="196">
        <v>5800.92</v>
      </c>
      <c r="G41" s="196">
        <v>1590.28</v>
      </c>
      <c r="H41" s="196">
        <v>7831</v>
      </c>
      <c r="I41" s="196">
        <v>7825</v>
      </c>
      <c r="J41" s="197">
        <f t="shared" si="5"/>
        <v>-6</v>
      </c>
      <c r="K41" s="198">
        <f t="shared" si="6"/>
        <v>-7.6618567232792745E-4</v>
      </c>
      <c r="L41" s="196"/>
      <c r="M41" s="196"/>
      <c r="N41" s="196"/>
      <c r="O41" s="196"/>
      <c r="P41" s="199"/>
    </row>
    <row r="42" spans="1:16" ht="31.5" customHeight="1" x14ac:dyDescent="0.2">
      <c r="A42" s="193" t="s">
        <v>177</v>
      </c>
      <c r="B42" s="318">
        <v>707505</v>
      </c>
      <c r="C42" s="194" t="s">
        <v>176</v>
      </c>
      <c r="D42" s="195"/>
      <c r="E42" s="196"/>
      <c r="F42" s="196">
        <v>0</v>
      </c>
      <c r="G42" s="196">
        <v>110.7</v>
      </c>
      <c r="H42" s="196"/>
      <c r="I42" s="196"/>
      <c r="J42" s="197">
        <f t="shared" si="5"/>
        <v>0</v>
      </c>
      <c r="K42" s="198" t="e">
        <f t="shared" si="6"/>
        <v>#DIV/0!</v>
      </c>
      <c r="L42" s="196"/>
      <c r="M42" s="196"/>
      <c r="N42" s="196"/>
      <c r="O42" s="196"/>
      <c r="P42" s="199"/>
    </row>
    <row r="43" spans="1:16" ht="31.5" customHeight="1" x14ac:dyDescent="0.2">
      <c r="A43" s="193"/>
      <c r="B43" s="193"/>
      <c r="C43" s="194"/>
      <c r="D43" s="195"/>
      <c r="E43" s="196"/>
      <c r="F43" s="196"/>
      <c r="G43" s="196"/>
      <c r="H43" s="196"/>
      <c r="I43" s="196"/>
      <c r="J43" s="197">
        <f t="shared" si="5"/>
        <v>0</v>
      </c>
      <c r="K43" s="198" t="e">
        <f t="shared" si="6"/>
        <v>#DIV/0!</v>
      </c>
      <c r="L43" s="196"/>
      <c r="M43" s="196"/>
      <c r="N43" s="196"/>
      <c r="O43" s="196"/>
      <c r="P43" s="199"/>
    </row>
    <row r="44" spans="1:16" ht="31.5" customHeight="1" x14ac:dyDescent="0.2">
      <c r="A44" s="193"/>
      <c r="B44" s="193"/>
      <c r="C44" s="194"/>
      <c r="D44" s="195"/>
      <c r="E44" s="196"/>
      <c r="F44" s="196"/>
      <c r="G44" s="196"/>
      <c r="H44" s="196"/>
      <c r="I44" s="196"/>
      <c r="J44" s="197">
        <f t="shared" si="5"/>
        <v>0</v>
      </c>
      <c r="K44" s="198" t="e">
        <f t="shared" si="6"/>
        <v>#DIV/0!</v>
      </c>
      <c r="L44" s="196"/>
      <c r="M44" s="196"/>
      <c r="N44" s="196"/>
      <c r="O44" s="196"/>
      <c r="P44" s="199"/>
    </row>
    <row r="45" spans="1:16" ht="31.5" customHeight="1" x14ac:dyDescent="0.2">
      <c r="A45" s="193"/>
      <c r="B45" s="193"/>
      <c r="C45" s="194"/>
      <c r="D45" s="195"/>
      <c r="E45" s="196"/>
      <c r="F45" s="196"/>
      <c r="G45" s="196"/>
      <c r="H45" s="196"/>
      <c r="I45" s="196"/>
      <c r="J45" s="197">
        <f t="shared" si="5"/>
        <v>0</v>
      </c>
      <c r="K45" s="198" t="e">
        <f t="shared" si="6"/>
        <v>#DIV/0!</v>
      </c>
      <c r="L45" s="196"/>
      <c r="M45" s="196"/>
      <c r="N45" s="196"/>
      <c r="O45" s="196"/>
      <c r="P45" s="199"/>
    </row>
    <row r="46" spans="1:16" ht="13.5" thickBot="1" x14ac:dyDescent="0.25">
      <c r="A46" s="200"/>
      <c r="B46" s="200"/>
      <c r="C46" s="177" t="s">
        <v>22</v>
      </c>
      <c r="D46" s="201"/>
      <c r="E46" s="180">
        <f>SUM(E21:E45)</f>
        <v>190492.58000000002</v>
      </c>
      <c r="F46" s="180">
        <f>SUM(F21:F45)</f>
        <v>209909.27000000008</v>
      </c>
      <c r="G46" s="180">
        <f>SUM(G21:G45)</f>
        <v>237297.28</v>
      </c>
      <c r="H46" s="180">
        <f>SUM(H21:H45)</f>
        <v>269735</v>
      </c>
      <c r="I46" s="180">
        <f>SUM(I21:I45)</f>
        <v>219780</v>
      </c>
      <c r="J46" s="180">
        <f t="shared" si="5"/>
        <v>-49955</v>
      </c>
      <c r="K46" s="181">
        <f t="shared" si="6"/>
        <v>-0.18520028917270653</v>
      </c>
      <c r="L46" s="180">
        <f>SUM(L21:L45)</f>
        <v>30000</v>
      </c>
      <c r="M46" s="180">
        <f>SUM(M21:M45)</f>
        <v>0</v>
      </c>
      <c r="N46" s="180">
        <f>SUM(N21:N45)</f>
        <v>0</v>
      </c>
      <c r="O46" s="180">
        <f>SUM(O21:O45)</f>
        <v>6593</v>
      </c>
      <c r="P46" s="202"/>
    </row>
    <row r="47" spans="1:16" ht="13.5" thickBot="1" x14ac:dyDescent="0.25">
      <c r="A47" s="203"/>
      <c r="B47" s="203"/>
      <c r="C47" s="204" t="s">
        <v>702</v>
      </c>
      <c r="D47" s="205"/>
      <c r="E47" s="206">
        <f>E18+E46</f>
        <v>316618.48</v>
      </c>
      <c r="F47" s="206">
        <f>F18+F46</f>
        <v>263924.4200000001</v>
      </c>
      <c r="G47" s="206">
        <f>G18+G46</f>
        <v>295016.94</v>
      </c>
      <c r="H47" s="206">
        <f>H18+H46</f>
        <v>315231</v>
      </c>
      <c r="I47" s="206">
        <f>I18+I46</f>
        <v>265280</v>
      </c>
      <c r="J47" s="206">
        <f>I47-H47</f>
        <v>-49951</v>
      </c>
      <c r="K47" s="207">
        <f>(I47-H47)/H47</f>
        <v>-0.15845840034768155</v>
      </c>
      <c r="L47" s="206">
        <f>L18+L46</f>
        <v>30000</v>
      </c>
      <c r="M47" s="206">
        <f>M18+M46</f>
        <v>0</v>
      </c>
      <c r="N47" s="206">
        <f>N18+N46</f>
        <v>0</v>
      </c>
      <c r="O47" s="206">
        <f>O18+O46</f>
        <v>6593</v>
      </c>
      <c r="P47" s="208"/>
    </row>
    <row r="48" spans="1:16" x14ac:dyDescent="0.2">
      <c r="A48" s="203"/>
      <c r="B48" s="203"/>
      <c r="C48" s="209" t="s">
        <v>698</v>
      </c>
      <c r="D48" s="210"/>
      <c r="E48" s="211"/>
      <c r="F48" s="211"/>
      <c r="G48" s="211"/>
      <c r="H48" s="212">
        <v>0</v>
      </c>
      <c r="I48" s="213"/>
      <c r="J48" s="213"/>
      <c r="K48" s="214"/>
      <c r="L48" s="213"/>
      <c r="M48" s="213"/>
      <c r="N48" s="213"/>
      <c r="O48" s="213"/>
      <c r="P48" s="215"/>
    </row>
    <row r="49" spans="1:16" x14ac:dyDescent="0.2">
      <c r="A49" s="203"/>
      <c r="B49" s="203"/>
      <c r="C49" s="183" t="s">
        <v>699</v>
      </c>
      <c r="D49" s="184"/>
      <c r="E49" s="216"/>
      <c r="F49" s="216"/>
      <c r="G49" s="216"/>
      <c r="H49" s="185">
        <f>251092+37500</f>
        <v>288592</v>
      </c>
      <c r="I49" s="217"/>
      <c r="J49" s="217"/>
      <c r="K49" s="218"/>
      <c r="L49" s="217"/>
      <c r="M49" s="217"/>
      <c r="N49" s="217"/>
      <c r="O49" s="217"/>
      <c r="P49" s="219"/>
    </row>
    <row r="50" spans="1:16" x14ac:dyDescent="0.2">
      <c r="A50" s="203"/>
      <c r="B50" s="203"/>
      <c r="C50" s="183" t="s">
        <v>700</v>
      </c>
      <c r="D50" s="184"/>
      <c r="E50" s="216"/>
      <c r="F50" s="216"/>
      <c r="G50" s="216"/>
      <c r="H50" s="220">
        <f>H48-H10</f>
        <v>0</v>
      </c>
      <c r="I50" s="217"/>
      <c r="J50" s="217"/>
      <c r="K50" s="218"/>
      <c r="L50" s="217"/>
      <c r="M50" s="217"/>
      <c r="N50" s="217"/>
      <c r="O50" s="217"/>
      <c r="P50" s="219"/>
    </row>
    <row r="51" spans="1:16" x14ac:dyDescent="0.2">
      <c r="A51" s="221"/>
      <c r="B51" s="221"/>
      <c r="C51" s="183" t="s">
        <v>701</v>
      </c>
      <c r="D51" s="184"/>
      <c r="E51" s="217"/>
      <c r="F51" s="217"/>
      <c r="G51" s="217"/>
      <c r="H51" s="220">
        <f>H49-H47</f>
        <v>-26639</v>
      </c>
      <c r="I51" s="217"/>
      <c r="J51" s="217"/>
      <c r="K51" s="218"/>
      <c r="L51" s="217"/>
      <c r="M51" s="217"/>
      <c r="N51" s="217"/>
      <c r="O51" s="217"/>
      <c r="P51" s="219"/>
    </row>
    <row r="53" spans="1:16" s="157" customFormat="1" ht="27" customHeight="1" thickBot="1" x14ac:dyDescent="0.25">
      <c r="A53" s="158" t="s">
        <v>687</v>
      </c>
      <c r="B53" s="158" t="s">
        <v>687</v>
      </c>
      <c r="M53" s="406" t="s">
        <v>690</v>
      </c>
      <c r="N53" s="406"/>
      <c r="O53" s="406"/>
    </row>
    <row r="54" spans="1:16" s="157" customFormat="1" ht="51.75" thickBot="1" x14ac:dyDescent="0.25">
      <c r="A54" s="225"/>
      <c r="B54" s="225"/>
      <c r="C54" s="229" t="s">
        <v>633</v>
      </c>
      <c r="D54" s="249"/>
      <c r="E54" s="234" t="s">
        <v>749</v>
      </c>
      <c r="F54" s="234" t="s">
        <v>750</v>
      </c>
      <c r="G54" s="234" t="s">
        <v>751</v>
      </c>
      <c r="H54" s="294" t="s">
        <v>747</v>
      </c>
      <c r="I54" s="234" t="s">
        <v>748</v>
      </c>
      <c r="J54" s="234" t="s">
        <v>745</v>
      </c>
      <c r="K54" s="295" t="s">
        <v>641</v>
      </c>
      <c r="M54" s="145"/>
      <c r="N54" s="145" t="s">
        <v>693</v>
      </c>
      <c r="O54" s="145" t="s">
        <v>694</v>
      </c>
    </row>
    <row r="55" spans="1:16" s="157" customFormat="1" x14ac:dyDescent="0.2">
      <c r="A55" s="225"/>
      <c r="B55" s="225"/>
      <c r="C55" s="194" t="s">
        <v>1041</v>
      </c>
      <c r="D55" s="336"/>
      <c r="E55" s="226"/>
      <c r="F55" s="226"/>
      <c r="G55" s="226"/>
      <c r="H55" s="226">
        <v>18581</v>
      </c>
      <c r="I55" s="226">
        <v>12455</v>
      </c>
      <c r="J55" s="227">
        <f>I55-H55</f>
        <v>-6126</v>
      </c>
      <c r="K55" s="228">
        <f>(I55-H55)/H55</f>
        <v>-0.3296916204725257</v>
      </c>
      <c r="M55" s="146" t="s">
        <v>691</v>
      </c>
      <c r="N55" s="146">
        <v>4</v>
      </c>
      <c r="O55" s="146">
        <v>0</v>
      </c>
    </row>
    <row r="56" spans="1:16" s="157" customFormat="1" x14ac:dyDescent="0.2">
      <c r="M56" s="146" t="s">
        <v>692</v>
      </c>
      <c r="N56" s="146"/>
      <c r="O56" s="146"/>
    </row>
    <row r="57" spans="1:16" s="157" customFormat="1" x14ac:dyDescent="0.2">
      <c r="M57" s="146" t="s">
        <v>23</v>
      </c>
      <c r="N57" s="146">
        <f>SUM(N55:N56)</f>
        <v>4</v>
      </c>
      <c r="O57" s="146">
        <f>SUM(O55:O56)</f>
        <v>0</v>
      </c>
    </row>
    <row r="58" spans="1:16" s="157" customFormat="1" x14ac:dyDescent="0.2"/>
    <row r="59" spans="1:16" s="157" customFormat="1" x14ac:dyDescent="0.2"/>
    <row r="60" spans="1:16" s="157" customFormat="1" x14ac:dyDescent="0.2"/>
  </sheetData>
  <mergeCells count="2">
    <mergeCell ref="L3:N3"/>
    <mergeCell ref="M53:O53"/>
  </mergeCells>
  <pageMargins left="0.25" right="0.25" top="0.67708333333333304" bottom="0.35416666666666702" header="0.3" footer="0.3"/>
  <pageSetup paperSize="17" scale="70" orientation="landscape" r:id="rId1"/>
  <headerFooter>
    <oddHeader>&amp;C&amp;"Calibri,Bold"&amp;A</oddHeader>
    <oddFooter>&amp;Rprinted:  &amp;D&amp;T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1"/>
  <sheetViews>
    <sheetView showGridLines="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848</v>
      </c>
      <c r="O1" s="164"/>
    </row>
    <row r="2" spans="1:19" ht="23.25" customHeight="1" thickBot="1" x14ac:dyDescent="0.3">
      <c r="A2" s="290" t="s">
        <v>810</v>
      </c>
      <c r="B2" s="232"/>
      <c r="C2" s="292" t="s">
        <v>849</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14967.97+10474.1</f>
        <v>25442.07</v>
      </c>
      <c r="F6" s="171">
        <f>16604.52+10507.37</f>
        <v>27111.89</v>
      </c>
      <c r="G6" s="171">
        <f>16589.19+4835.16</f>
        <v>21424.35</v>
      </c>
      <c r="H6" s="171">
        <f>SUM('FT Salaries'!E50)</f>
        <v>26134.720000000001</v>
      </c>
      <c r="I6" s="172">
        <f>SUM(H6)</f>
        <v>26134.720000000001</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25442.07</v>
      </c>
      <c r="F8" s="179">
        <f>SUM(F6:F7)</f>
        <v>27111.89</v>
      </c>
      <c r="G8" s="179">
        <f>SUM(G6:G7)</f>
        <v>21424.35</v>
      </c>
      <c r="H8" s="179">
        <f>SUM(H6:H7)</f>
        <v>26134.720000000001</v>
      </c>
      <c r="I8" s="179">
        <f>SUM(I6:I7)</f>
        <v>26134.720000000001</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3000</v>
      </c>
      <c r="F12" s="171">
        <v>3000</v>
      </c>
      <c r="G12" s="171">
        <v>3000</v>
      </c>
      <c r="H12" s="171"/>
      <c r="I12" s="172"/>
      <c r="J12" s="173">
        <f t="shared" si="1"/>
        <v>0</v>
      </c>
      <c r="K12" s="174" t="e">
        <f t="shared" ref="K12:K18" si="2">(I12-H12)/H12</f>
        <v>#DIV/0!</v>
      </c>
      <c r="L12" s="172"/>
      <c r="M12" s="175"/>
      <c r="N12" s="175"/>
      <c r="O12" s="175"/>
      <c r="P12" s="147"/>
      <c r="Q12" s="157"/>
      <c r="R12" s="157"/>
      <c r="S12" s="157"/>
    </row>
    <row r="13" spans="1:19" x14ac:dyDescent="0.2">
      <c r="A13" s="169" t="s">
        <v>591</v>
      </c>
      <c r="B13" s="318">
        <v>601307</v>
      </c>
      <c r="C13" s="146" t="s">
        <v>590</v>
      </c>
      <c r="D13" s="170"/>
      <c r="E13" s="171">
        <v>4974.74</v>
      </c>
      <c r="F13" s="171">
        <v>5493.6</v>
      </c>
      <c r="G13" s="171">
        <v>5005.26</v>
      </c>
      <c r="H13" s="171">
        <v>2014.32</v>
      </c>
      <c r="I13" s="172">
        <v>2000</v>
      </c>
      <c r="J13" s="173">
        <f t="shared" si="1"/>
        <v>-14.319999999999936</v>
      </c>
      <c r="K13" s="174">
        <f t="shared" si="2"/>
        <v>-7.1090988522180872E-3</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7974.74</v>
      </c>
      <c r="F18" s="185">
        <f t="shared" ref="F18:I18" si="3">SUM(F12:F17)</f>
        <v>8493.6</v>
      </c>
      <c r="G18" s="185">
        <f t="shared" si="3"/>
        <v>8005.26</v>
      </c>
      <c r="H18" s="185">
        <f t="shared" si="3"/>
        <v>2014.32</v>
      </c>
      <c r="I18" s="185">
        <f t="shared" si="3"/>
        <v>2000</v>
      </c>
      <c r="J18" s="185">
        <f t="shared" si="1"/>
        <v>-14.319999999999936</v>
      </c>
      <c r="K18" s="186">
        <f t="shared" si="2"/>
        <v>-7.1090988522180872E-3</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1923.75</v>
      </c>
      <c r="F21" s="196">
        <v>1489.2</v>
      </c>
      <c r="G21" s="196">
        <v>2048.75</v>
      </c>
      <c r="H21" s="196">
        <v>2214.4</v>
      </c>
      <c r="I21" s="196">
        <v>1000</v>
      </c>
      <c r="J21" s="197">
        <f t="shared" ref="J21:J37" si="5">I21-H21</f>
        <v>-1214.4000000000001</v>
      </c>
      <c r="K21" s="198">
        <f t="shared" ref="K21:K37" si="6">(I21-H21)/H21</f>
        <v>-0.54841040462427748</v>
      </c>
      <c r="L21" s="196"/>
      <c r="M21" s="196"/>
      <c r="N21" s="196"/>
      <c r="O21" s="196"/>
      <c r="P21" s="199"/>
    </row>
    <row r="22" spans="1:19" ht="31.5" customHeight="1" x14ac:dyDescent="0.2">
      <c r="A22" s="193" t="s">
        <v>416</v>
      </c>
      <c r="B22" s="318">
        <v>702200</v>
      </c>
      <c r="C22" s="194" t="s">
        <v>11</v>
      </c>
      <c r="D22" s="195"/>
      <c r="E22" s="196">
        <v>2559</v>
      </c>
      <c r="F22" s="196">
        <v>1823.13</v>
      </c>
      <c r="G22" s="196">
        <v>3485.4</v>
      </c>
      <c r="H22" s="196">
        <v>2699.5</v>
      </c>
      <c r="I22" s="196">
        <v>3000</v>
      </c>
      <c r="J22" s="197">
        <f t="shared" si="5"/>
        <v>300.5</v>
      </c>
      <c r="K22" s="198">
        <f t="shared" si="6"/>
        <v>0.11131691053898871</v>
      </c>
      <c r="L22" s="196"/>
      <c r="M22" s="196"/>
      <c r="N22" s="196"/>
      <c r="O22" s="196">
        <v>182</v>
      </c>
      <c r="P22" s="199"/>
    </row>
    <row r="23" spans="1:19" ht="31.5" customHeight="1" x14ac:dyDescent="0.2">
      <c r="A23" s="193" t="s">
        <v>377</v>
      </c>
      <c r="B23" s="318">
        <v>701500</v>
      </c>
      <c r="C23" s="194" t="s">
        <v>376</v>
      </c>
      <c r="D23" s="195"/>
      <c r="E23" s="196">
        <v>30</v>
      </c>
      <c r="F23" s="196">
        <v>0</v>
      </c>
      <c r="G23" s="196"/>
      <c r="H23" s="196"/>
      <c r="I23" s="196"/>
      <c r="J23" s="197">
        <f t="shared" si="5"/>
        <v>0</v>
      </c>
      <c r="K23" s="198" t="e">
        <f t="shared" si="6"/>
        <v>#DIV/0!</v>
      </c>
      <c r="L23" s="196"/>
      <c r="M23" s="196"/>
      <c r="N23" s="196"/>
      <c r="O23" s="196"/>
      <c r="P23" s="199"/>
    </row>
    <row r="24" spans="1:19" ht="31.5" customHeight="1" x14ac:dyDescent="0.2">
      <c r="A24" s="193" t="s">
        <v>363</v>
      </c>
      <c r="B24" s="318">
        <v>701603</v>
      </c>
      <c r="C24" s="194" t="s">
        <v>362</v>
      </c>
      <c r="D24" s="195"/>
      <c r="E24" s="196">
        <v>1377</v>
      </c>
      <c r="F24" s="196">
        <v>1873.5</v>
      </c>
      <c r="G24" s="196">
        <v>1781.02</v>
      </c>
      <c r="H24" s="196">
        <v>1348.38</v>
      </c>
      <c r="I24" s="196">
        <v>1000</v>
      </c>
      <c r="J24" s="197">
        <f t="shared" si="5"/>
        <v>-348.38000000000011</v>
      </c>
      <c r="K24" s="198">
        <f t="shared" si="6"/>
        <v>-0.25836930242216594</v>
      </c>
      <c r="L24" s="196"/>
      <c r="M24" s="196"/>
      <c r="N24" s="196"/>
      <c r="O24" s="196"/>
      <c r="P24" s="199"/>
    </row>
    <row r="25" spans="1:19" ht="31.5" customHeight="1" x14ac:dyDescent="0.2">
      <c r="A25" s="193" t="s">
        <v>359</v>
      </c>
      <c r="B25" s="318">
        <v>705101</v>
      </c>
      <c r="C25" s="194" t="s">
        <v>358</v>
      </c>
      <c r="D25" s="195"/>
      <c r="E25" s="196">
        <v>1692.47</v>
      </c>
      <c r="F25" s="196">
        <v>4145.8999999999996</v>
      </c>
      <c r="G25" s="196">
        <v>1485.16</v>
      </c>
      <c r="H25" s="196">
        <v>1038.6099999999999</v>
      </c>
      <c r="I25" s="196">
        <v>1000</v>
      </c>
      <c r="J25" s="197">
        <f t="shared" si="5"/>
        <v>-38.6099999999999</v>
      </c>
      <c r="K25" s="198">
        <f t="shared" si="6"/>
        <v>-3.7174685396828361E-2</v>
      </c>
      <c r="L25" s="196"/>
      <c r="M25" s="196"/>
      <c r="N25" s="196"/>
      <c r="O25" s="196"/>
      <c r="P25" s="199"/>
    </row>
    <row r="26" spans="1:19" ht="31.5" customHeight="1" x14ac:dyDescent="0.2">
      <c r="A26" s="193" t="s">
        <v>357</v>
      </c>
      <c r="B26" s="318">
        <v>705002</v>
      </c>
      <c r="C26" s="194" t="s">
        <v>356</v>
      </c>
      <c r="D26" s="195"/>
      <c r="E26" s="196">
        <v>11.67</v>
      </c>
      <c r="F26" s="196">
        <v>95.5</v>
      </c>
      <c r="G26" s="196">
        <v>338.16</v>
      </c>
      <c r="H26" s="196"/>
      <c r="I26" s="196"/>
      <c r="J26" s="197">
        <f t="shared" si="5"/>
        <v>0</v>
      </c>
      <c r="K26" s="198" t="e">
        <f t="shared" si="6"/>
        <v>#DIV/0!</v>
      </c>
      <c r="L26" s="196">
        <v>200</v>
      </c>
      <c r="M26" s="196"/>
      <c r="N26" s="196"/>
      <c r="O26" s="196"/>
      <c r="P26" s="199" t="s">
        <v>1075</v>
      </c>
    </row>
    <row r="27" spans="1:19" ht="31.5" customHeight="1" x14ac:dyDescent="0.2">
      <c r="A27" s="193" t="s">
        <v>355</v>
      </c>
      <c r="B27" s="318">
        <v>705102</v>
      </c>
      <c r="C27" s="194" t="s">
        <v>354</v>
      </c>
      <c r="D27" s="195"/>
      <c r="E27" s="196">
        <v>22.61</v>
      </c>
      <c r="F27" s="196">
        <v>37.47</v>
      </c>
      <c r="G27" s="196">
        <v>21.93</v>
      </c>
      <c r="H27" s="196"/>
      <c r="I27" s="196"/>
      <c r="J27" s="197">
        <f t="shared" si="5"/>
        <v>0</v>
      </c>
      <c r="K27" s="198" t="e">
        <f t="shared" si="6"/>
        <v>#DIV/0!</v>
      </c>
      <c r="L27" s="196">
        <v>100</v>
      </c>
      <c r="M27" s="196"/>
      <c r="N27" s="196"/>
      <c r="O27" s="196"/>
      <c r="P27" s="199"/>
    </row>
    <row r="28" spans="1:19" ht="31.5" customHeight="1" x14ac:dyDescent="0.2">
      <c r="A28" s="193" t="s">
        <v>351</v>
      </c>
      <c r="B28" s="318">
        <v>705000</v>
      </c>
      <c r="C28" s="194" t="s">
        <v>350</v>
      </c>
      <c r="D28" s="195"/>
      <c r="E28" s="196"/>
      <c r="F28" s="196"/>
      <c r="G28" s="196">
        <v>0</v>
      </c>
      <c r="H28" s="196"/>
      <c r="I28" s="196"/>
      <c r="J28" s="197">
        <f t="shared" si="5"/>
        <v>0</v>
      </c>
      <c r="K28" s="198" t="e">
        <f t="shared" si="6"/>
        <v>#DIV/0!</v>
      </c>
      <c r="L28" s="196"/>
      <c r="M28" s="196"/>
      <c r="N28" s="196"/>
      <c r="O28" s="196"/>
      <c r="P28" s="199"/>
    </row>
    <row r="29" spans="1:19" ht="31.5" customHeight="1" x14ac:dyDescent="0.2">
      <c r="A29" s="193" t="s">
        <v>349</v>
      </c>
      <c r="B29" s="318">
        <v>705100</v>
      </c>
      <c r="C29" s="194" t="s">
        <v>348</v>
      </c>
      <c r="D29" s="195"/>
      <c r="E29" s="196">
        <v>2168.25</v>
      </c>
      <c r="F29" s="196">
        <v>127.60000000000001</v>
      </c>
      <c r="G29" s="196"/>
      <c r="H29" s="196"/>
      <c r="I29" s="196"/>
      <c r="J29" s="197">
        <f t="shared" si="5"/>
        <v>0</v>
      </c>
      <c r="K29" s="198" t="e">
        <f t="shared" si="6"/>
        <v>#DIV/0!</v>
      </c>
      <c r="L29" s="196"/>
      <c r="M29" s="196"/>
      <c r="N29" s="196"/>
      <c r="O29" s="196"/>
      <c r="P29" s="199"/>
    </row>
    <row r="30" spans="1:19" ht="31.5" customHeight="1" x14ac:dyDescent="0.2">
      <c r="A30" s="193" t="s">
        <v>250</v>
      </c>
      <c r="B30" s="318">
        <v>707153</v>
      </c>
      <c r="C30" s="194" t="s">
        <v>249</v>
      </c>
      <c r="D30" s="195"/>
      <c r="E30" s="196"/>
      <c r="F30" s="196"/>
      <c r="G30" s="196">
        <v>55</v>
      </c>
      <c r="H30" s="196"/>
      <c r="I30" s="196"/>
      <c r="J30" s="197">
        <f t="shared" si="5"/>
        <v>0</v>
      </c>
      <c r="K30" s="198" t="e">
        <f t="shared" si="6"/>
        <v>#DIV/0!</v>
      </c>
      <c r="L30" s="196"/>
      <c r="M30" s="196"/>
      <c r="N30" s="196"/>
      <c r="O30" s="196"/>
      <c r="P30" s="199"/>
    </row>
    <row r="31" spans="1:19" ht="31.5" customHeight="1" x14ac:dyDescent="0.2">
      <c r="A31" s="193" t="s">
        <v>203</v>
      </c>
      <c r="B31" s="318">
        <v>707301</v>
      </c>
      <c r="C31" s="194" t="s">
        <v>18</v>
      </c>
      <c r="D31" s="195"/>
      <c r="E31" s="196">
        <v>204.27</v>
      </c>
      <c r="F31" s="196">
        <v>399.52</v>
      </c>
      <c r="G31" s="196">
        <v>70.44</v>
      </c>
      <c r="H31" s="196">
        <v>61.94</v>
      </c>
      <c r="I31" s="196">
        <v>62</v>
      </c>
      <c r="J31" s="197">
        <f t="shared" si="5"/>
        <v>6.0000000000002274E-2</v>
      </c>
      <c r="K31" s="198">
        <f t="shared" si="6"/>
        <v>9.6867936712951685E-4</v>
      </c>
      <c r="L31" s="196"/>
      <c r="M31" s="196"/>
      <c r="N31" s="196"/>
      <c r="O31" s="196"/>
      <c r="P31" s="199"/>
    </row>
    <row r="32" spans="1:19" ht="31.5" customHeight="1" x14ac:dyDescent="0.2">
      <c r="A32" s="193"/>
      <c r="B32" s="193"/>
      <c r="C32" s="194"/>
      <c r="D32" s="195"/>
      <c r="E32" s="196"/>
      <c r="F32" s="196"/>
      <c r="G32" s="196"/>
      <c r="H32" s="196"/>
      <c r="I32" s="196"/>
      <c r="J32" s="197">
        <f t="shared" si="5"/>
        <v>0</v>
      </c>
      <c r="K32" s="198" t="e">
        <f t="shared" si="6"/>
        <v>#DIV/0!</v>
      </c>
      <c r="L32" s="196"/>
      <c r="M32" s="196"/>
      <c r="N32" s="196"/>
      <c r="O32" s="196"/>
      <c r="P32" s="199"/>
    </row>
    <row r="33" spans="1:16" ht="31.5" customHeight="1" x14ac:dyDescent="0.2">
      <c r="A33" s="193"/>
      <c r="B33" s="193"/>
      <c r="C33" s="194"/>
      <c r="D33" s="195"/>
      <c r="E33" s="196"/>
      <c r="F33" s="196"/>
      <c r="G33" s="196"/>
      <c r="H33" s="196"/>
      <c r="I33" s="196"/>
      <c r="J33" s="197">
        <f t="shared" si="5"/>
        <v>0</v>
      </c>
      <c r="K33" s="198" t="e">
        <f t="shared" si="6"/>
        <v>#DIV/0!</v>
      </c>
      <c r="L33" s="196"/>
      <c r="M33" s="196"/>
      <c r="N33" s="196"/>
      <c r="O33" s="196"/>
      <c r="P33" s="199"/>
    </row>
    <row r="34" spans="1:16" ht="31.5" customHeight="1" x14ac:dyDescent="0.2">
      <c r="A34" s="193"/>
      <c r="B34" s="193"/>
      <c r="C34" s="194"/>
      <c r="D34" s="195"/>
      <c r="E34" s="196"/>
      <c r="F34" s="196"/>
      <c r="G34" s="196"/>
      <c r="H34" s="196"/>
      <c r="I34" s="196"/>
      <c r="J34" s="197">
        <f t="shared" si="5"/>
        <v>0</v>
      </c>
      <c r="K34" s="198" t="e">
        <f t="shared" si="6"/>
        <v>#DIV/0!</v>
      </c>
      <c r="L34" s="196"/>
      <c r="M34" s="196"/>
      <c r="N34" s="196"/>
      <c r="O34" s="196"/>
      <c r="P34" s="199"/>
    </row>
    <row r="35" spans="1:16" ht="31.5" customHeight="1" x14ac:dyDescent="0.2">
      <c r="A35" s="193"/>
      <c r="B35" s="193"/>
      <c r="C35" s="194"/>
      <c r="D35" s="195"/>
      <c r="E35" s="196"/>
      <c r="F35" s="196"/>
      <c r="G35" s="196"/>
      <c r="H35" s="196"/>
      <c r="I35" s="196"/>
      <c r="J35" s="197">
        <f t="shared" si="5"/>
        <v>0</v>
      </c>
      <c r="K35" s="198" t="e">
        <f t="shared" si="6"/>
        <v>#DIV/0!</v>
      </c>
      <c r="L35" s="196"/>
      <c r="M35" s="196"/>
      <c r="N35" s="196"/>
      <c r="O35" s="196"/>
      <c r="P35" s="199"/>
    </row>
    <row r="36" spans="1:16" ht="31.5" customHeight="1" x14ac:dyDescent="0.2">
      <c r="A36" s="193"/>
      <c r="B36" s="193"/>
      <c r="C36" s="194"/>
      <c r="D36" s="195"/>
      <c r="E36" s="196"/>
      <c r="F36" s="196"/>
      <c r="G36" s="196"/>
      <c r="H36" s="196"/>
      <c r="I36" s="196"/>
      <c r="J36" s="197">
        <f t="shared" si="5"/>
        <v>0</v>
      </c>
      <c r="K36" s="198" t="e">
        <f t="shared" si="6"/>
        <v>#DIV/0!</v>
      </c>
      <c r="L36" s="196"/>
      <c r="M36" s="196"/>
      <c r="N36" s="196"/>
      <c r="O36" s="196"/>
      <c r="P36" s="199"/>
    </row>
    <row r="37" spans="1:16" ht="13.5" thickBot="1" x14ac:dyDescent="0.25">
      <c r="A37" s="200"/>
      <c r="B37" s="200"/>
      <c r="C37" s="177" t="s">
        <v>22</v>
      </c>
      <c r="D37" s="201"/>
      <c r="E37" s="180">
        <f>SUM(E21:E36)</f>
        <v>9989.02</v>
      </c>
      <c r="F37" s="180">
        <f>SUM(F21:F36)</f>
        <v>9991.82</v>
      </c>
      <c r="G37" s="180">
        <f>SUM(G21:G36)</f>
        <v>9285.86</v>
      </c>
      <c r="H37" s="180">
        <f>SUM(H21:H36)</f>
        <v>7362.829999999999</v>
      </c>
      <c r="I37" s="180">
        <f>SUM(I21:I36)</f>
        <v>6062</v>
      </c>
      <c r="J37" s="180">
        <f t="shared" si="5"/>
        <v>-1300.829999999999</v>
      </c>
      <c r="K37" s="181">
        <f t="shared" si="6"/>
        <v>-0.17667527295890292</v>
      </c>
      <c r="L37" s="180">
        <f>SUM(L21:L36)</f>
        <v>300</v>
      </c>
      <c r="M37" s="180">
        <f>SUM(M21:M36)</f>
        <v>0</v>
      </c>
      <c r="N37" s="180">
        <f>SUM(N21:N36)</f>
        <v>0</v>
      </c>
      <c r="O37" s="180">
        <f>SUM(O21:O36)</f>
        <v>182</v>
      </c>
      <c r="P37" s="202"/>
    </row>
    <row r="38" spans="1:16" ht="13.5" thickBot="1" x14ac:dyDescent="0.25">
      <c r="A38" s="203"/>
      <c r="B38" s="203"/>
      <c r="C38" s="204" t="s">
        <v>702</v>
      </c>
      <c r="D38" s="205"/>
      <c r="E38" s="206">
        <f>E18+E37</f>
        <v>17963.760000000002</v>
      </c>
      <c r="F38" s="206">
        <f>F18+F37</f>
        <v>18485.419999999998</v>
      </c>
      <c r="G38" s="206">
        <f>G18+G37</f>
        <v>17291.120000000003</v>
      </c>
      <c r="H38" s="206">
        <f>H18+H37</f>
        <v>9377.15</v>
      </c>
      <c r="I38" s="206">
        <f>I18+I37</f>
        <v>8062</v>
      </c>
      <c r="J38" s="206">
        <f>I38-H38</f>
        <v>-1315.1499999999996</v>
      </c>
      <c r="K38" s="207">
        <f>(I38-H38)/H38</f>
        <v>-0.14025050255141483</v>
      </c>
      <c r="L38" s="206">
        <f>L18+L37</f>
        <v>300</v>
      </c>
      <c r="M38" s="206">
        <f>M18+M37</f>
        <v>0</v>
      </c>
      <c r="N38" s="206">
        <f>N18+N37</f>
        <v>0</v>
      </c>
      <c r="O38" s="206">
        <f>O18+O37</f>
        <v>182</v>
      </c>
      <c r="P38" s="208"/>
    </row>
    <row r="39" spans="1:16" x14ac:dyDescent="0.2">
      <c r="A39" s="203"/>
      <c r="B39" s="203"/>
      <c r="C39" s="209" t="s">
        <v>698</v>
      </c>
      <c r="D39" s="210"/>
      <c r="E39" s="211"/>
      <c r="F39" s="211"/>
      <c r="G39" s="211"/>
      <c r="H39" s="212">
        <v>0</v>
      </c>
      <c r="I39" s="213"/>
      <c r="J39" s="213"/>
      <c r="K39" s="214"/>
      <c r="L39" s="213"/>
      <c r="M39" s="213"/>
      <c r="N39" s="213"/>
      <c r="O39" s="213"/>
      <c r="P39" s="215"/>
    </row>
    <row r="40" spans="1:16" x14ac:dyDescent="0.2">
      <c r="A40" s="203"/>
      <c r="B40" s="203"/>
      <c r="C40" s="183" t="s">
        <v>699</v>
      </c>
      <c r="D40" s="184"/>
      <c r="E40" s="216"/>
      <c r="F40" s="216"/>
      <c r="G40" s="216"/>
      <c r="H40" s="185">
        <f>12012</f>
        <v>12012</v>
      </c>
      <c r="I40" s="217"/>
      <c r="J40" s="217"/>
      <c r="K40" s="218"/>
      <c r="L40" s="217"/>
      <c r="M40" s="217"/>
      <c r="N40" s="217"/>
      <c r="O40" s="217"/>
      <c r="P40" s="219"/>
    </row>
    <row r="41" spans="1:16" x14ac:dyDescent="0.2">
      <c r="A41" s="203"/>
      <c r="B41" s="203"/>
      <c r="C41" s="183" t="s">
        <v>700</v>
      </c>
      <c r="D41" s="184"/>
      <c r="E41" s="216"/>
      <c r="F41" s="216"/>
      <c r="G41" s="216"/>
      <c r="H41" s="220">
        <f>H39-H10</f>
        <v>0</v>
      </c>
      <c r="I41" s="217"/>
      <c r="J41" s="217"/>
      <c r="K41" s="218"/>
      <c r="L41" s="217"/>
      <c r="M41" s="217"/>
      <c r="N41" s="217"/>
      <c r="O41" s="217"/>
      <c r="P41" s="219"/>
    </row>
    <row r="42" spans="1:16" x14ac:dyDescent="0.2">
      <c r="A42" s="221"/>
      <c r="B42" s="221"/>
      <c r="C42" s="183" t="s">
        <v>701</v>
      </c>
      <c r="D42" s="184"/>
      <c r="E42" s="217"/>
      <c r="F42" s="217"/>
      <c r="G42" s="217"/>
      <c r="H42" s="220">
        <f>H40-H38</f>
        <v>2634.8500000000004</v>
      </c>
      <c r="I42" s="217"/>
      <c r="J42" s="217"/>
      <c r="K42" s="218"/>
      <c r="L42" s="217"/>
      <c r="M42" s="217"/>
      <c r="N42" s="217"/>
      <c r="O42" s="217"/>
      <c r="P42" s="219"/>
    </row>
    <row r="44" spans="1:16" s="157" customFormat="1" ht="27" customHeight="1" thickBot="1" x14ac:dyDescent="0.25">
      <c r="A44" s="158" t="s">
        <v>687</v>
      </c>
      <c r="B44" s="158" t="s">
        <v>687</v>
      </c>
      <c r="M44" s="406" t="s">
        <v>690</v>
      </c>
      <c r="N44" s="406"/>
      <c r="O44" s="406"/>
    </row>
    <row r="45" spans="1:16" s="157" customFormat="1" ht="51.75" thickBot="1" x14ac:dyDescent="0.25">
      <c r="A45" s="225"/>
      <c r="B45" s="225"/>
      <c r="C45" s="229" t="s">
        <v>633</v>
      </c>
      <c r="D45" s="249"/>
      <c r="E45" s="234" t="s">
        <v>749</v>
      </c>
      <c r="F45" s="234" t="s">
        <v>750</v>
      </c>
      <c r="G45" s="234" t="s">
        <v>751</v>
      </c>
      <c r="H45" s="294" t="s">
        <v>747</v>
      </c>
      <c r="I45" s="234" t="s">
        <v>748</v>
      </c>
      <c r="J45" s="234" t="s">
        <v>745</v>
      </c>
      <c r="K45" s="295" t="s">
        <v>641</v>
      </c>
      <c r="M45" s="145"/>
      <c r="N45" s="145" t="s">
        <v>693</v>
      </c>
      <c r="O45" s="145" t="s">
        <v>694</v>
      </c>
    </row>
    <row r="46" spans="1:16" s="157" customFormat="1" x14ac:dyDescent="0.2">
      <c r="A46" s="225"/>
      <c r="B46" s="225"/>
      <c r="C46" s="194" t="s">
        <v>688</v>
      </c>
      <c r="D46" s="195"/>
      <c r="E46" s="226"/>
      <c r="F46" s="226"/>
      <c r="G46" s="226"/>
      <c r="H46" s="226"/>
      <c r="I46" s="226"/>
      <c r="J46" s="227">
        <f>I46-H46</f>
        <v>0</v>
      </c>
      <c r="K46" s="228" t="e">
        <f>(I46-H46)/H46</f>
        <v>#DIV/0!</v>
      </c>
      <c r="M46" s="146" t="s">
        <v>691</v>
      </c>
      <c r="N46" s="146">
        <v>0.5</v>
      </c>
      <c r="O46" s="146"/>
    </row>
    <row r="47" spans="1:16" s="157" customFormat="1" x14ac:dyDescent="0.2">
      <c r="M47" s="146" t="s">
        <v>692</v>
      </c>
      <c r="N47" s="146"/>
      <c r="O47" s="146"/>
    </row>
    <row r="48" spans="1:16" s="157" customFormat="1" x14ac:dyDescent="0.2">
      <c r="M48" s="146" t="s">
        <v>23</v>
      </c>
      <c r="N48" s="146">
        <f>SUM(N46:N47)</f>
        <v>0.5</v>
      </c>
      <c r="O48" s="146">
        <f>SUM(O46:O47)</f>
        <v>0</v>
      </c>
    </row>
    <row r="49" s="157" customFormat="1" x14ac:dyDescent="0.2"/>
    <row r="50" s="157" customFormat="1" x14ac:dyDescent="0.2"/>
    <row r="51" s="157" customFormat="1" x14ac:dyDescent="0.2"/>
  </sheetData>
  <mergeCells count="2">
    <mergeCell ref="L3:N3"/>
    <mergeCell ref="M44:O44"/>
  </mergeCells>
  <pageMargins left="0.25" right="0.25" top="0.67708333333333304" bottom="0.35416666666666702" header="0.3" footer="0.3"/>
  <pageSetup paperSize="17" scale="65" orientation="landscape" r:id="rId1"/>
  <headerFooter>
    <oddHeader>&amp;C&amp;"Calibri,Bold"&amp;A</oddHeader>
    <oddFooter>&amp;Rprinted:  &amp;D&amp;T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F46"/>
  <sheetViews>
    <sheetView showGridLines="0" topLeftCell="A10" zoomScaleNormal="100" workbookViewId="0">
      <selection activeCell="E41" sqref="E41"/>
    </sheetView>
  </sheetViews>
  <sheetFormatPr defaultColWidth="8.85546875" defaultRowHeight="15.75" x14ac:dyDescent="0.25"/>
  <cols>
    <col min="1" max="2" width="8.85546875" style="262"/>
    <col min="3" max="3" width="37.42578125" style="262" customWidth="1"/>
    <col min="4" max="5" width="8.85546875" style="262"/>
    <col min="6" max="6" width="10.140625" style="262" customWidth="1"/>
    <col min="7" max="16384" width="8.85546875" style="262"/>
  </cols>
  <sheetData>
    <row r="1" spans="1:6" x14ac:dyDescent="0.25">
      <c r="A1" s="260" t="s">
        <v>802</v>
      </c>
      <c r="B1" s="261"/>
      <c r="C1" s="274" t="s">
        <v>1092</v>
      </c>
    </row>
    <row r="3" spans="1:6" x14ac:dyDescent="0.25">
      <c r="A3" s="263"/>
      <c r="B3" s="263"/>
      <c r="C3" s="263"/>
      <c r="D3" s="263"/>
      <c r="E3" s="263"/>
      <c r="F3" s="263"/>
    </row>
    <row r="4" spans="1:6" s="276" customFormat="1" x14ac:dyDescent="0.25"/>
    <row r="29" spans="1:6" x14ac:dyDescent="0.25">
      <c r="A29" s="264" t="s">
        <v>804</v>
      </c>
    </row>
    <row r="30" spans="1:6" x14ac:dyDescent="0.25">
      <c r="A30" s="264" t="s">
        <v>803</v>
      </c>
    </row>
    <row r="31" spans="1:6" x14ac:dyDescent="0.25">
      <c r="A31" s="265"/>
      <c r="B31" s="266"/>
      <c r="C31" s="266"/>
      <c r="D31" s="266"/>
      <c r="E31" s="266"/>
      <c r="F31" s="267"/>
    </row>
    <row r="32" spans="1:6" x14ac:dyDescent="0.25">
      <c r="A32" s="265" t="s">
        <v>1094</v>
      </c>
      <c r="B32" s="349"/>
      <c r="C32" s="265"/>
      <c r="D32" s="265"/>
      <c r="E32" s="265"/>
      <c r="F32" s="350"/>
    </row>
    <row r="33" spans="1:6" x14ac:dyDescent="0.25">
      <c r="A33" s="268" t="s">
        <v>1093</v>
      </c>
      <c r="B33" s="269"/>
      <c r="C33" s="269"/>
      <c r="D33" s="269"/>
      <c r="E33" s="269"/>
      <c r="F33" s="270"/>
    </row>
    <row r="34" spans="1:6" x14ac:dyDescent="0.25">
      <c r="A34" s="268" t="s">
        <v>1096</v>
      </c>
      <c r="B34" s="269"/>
      <c r="C34" s="269"/>
      <c r="D34" s="269"/>
      <c r="E34" s="269"/>
      <c r="F34" s="270"/>
    </row>
    <row r="35" spans="1:6" x14ac:dyDescent="0.25">
      <c r="A35" s="268" t="s">
        <v>1095</v>
      </c>
      <c r="B35" s="269"/>
      <c r="C35" s="269"/>
      <c r="D35" s="269"/>
      <c r="E35" s="269"/>
      <c r="F35" s="270"/>
    </row>
    <row r="36" spans="1:6" x14ac:dyDescent="0.25">
      <c r="A36" s="268"/>
      <c r="B36" s="269"/>
      <c r="C36" s="269"/>
      <c r="D36" s="269"/>
      <c r="E36" s="269"/>
      <c r="F36" s="270"/>
    </row>
    <row r="37" spans="1:6" x14ac:dyDescent="0.25">
      <c r="A37" s="268"/>
      <c r="B37" s="269"/>
      <c r="C37" s="269"/>
      <c r="D37" s="269"/>
      <c r="E37" s="269"/>
      <c r="F37" s="270"/>
    </row>
    <row r="38" spans="1:6" x14ac:dyDescent="0.25">
      <c r="A38" s="268"/>
      <c r="B38" s="269"/>
      <c r="C38" s="269"/>
      <c r="D38" s="269"/>
      <c r="E38" s="269"/>
      <c r="F38" s="270"/>
    </row>
    <row r="39" spans="1:6" x14ac:dyDescent="0.25">
      <c r="A39" s="268"/>
      <c r="B39" s="269"/>
      <c r="C39" s="269"/>
      <c r="D39" s="269"/>
      <c r="E39" s="269"/>
      <c r="F39" s="270"/>
    </row>
    <row r="40" spans="1:6" x14ac:dyDescent="0.25">
      <c r="A40" s="268"/>
      <c r="B40" s="269"/>
      <c r="C40" s="269"/>
      <c r="D40" s="269"/>
      <c r="E40" s="269"/>
      <c r="F40" s="270"/>
    </row>
    <row r="41" spans="1:6" x14ac:dyDescent="0.25">
      <c r="A41" s="268"/>
      <c r="B41" s="269"/>
      <c r="C41" s="269"/>
      <c r="D41" s="269"/>
      <c r="E41" s="269"/>
      <c r="F41" s="270"/>
    </row>
    <row r="42" spans="1:6" x14ac:dyDescent="0.25">
      <c r="A42" s="268"/>
      <c r="B42" s="269"/>
      <c r="C42" s="269"/>
      <c r="D42" s="269"/>
      <c r="E42" s="269"/>
      <c r="F42" s="270"/>
    </row>
    <row r="43" spans="1:6" x14ac:dyDescent="0.25">
      <c r="A43" s="268"/>
      <c r="B43" s="269"/>
      <c r="C43" s="269"/>
      <c r="D43" s="269"/>
      <c r="E43" s="269"/>
      <c r="F43" s="270"/>
    </row>
    <row r="44" spans="1:6" x14ac:dyDescent="0.25">
      <c r="A44" s="268"/>
      <c r="B44" s="269"/>
      <c r="C44" s="269"/>
      <c r="D44" s="269"/>
      <c r="E44" s="269"/>
      <c r="F44" s="270"/>
    </row>
    <row r="45" spans="1:6" x14ac:dyDescent="0.25">
      <c r="A45" s="268"/>
      <c r="B45" s="269"/>
      <c r="C45" s="269"/>
      <c r="D45" s="269"/>
      <c r="E45" s="269"/>
      <c r="F45" s="270"/>
    </row>
    <row r="46" spans="1:6" x14ac:dyDescent="0.25">
      <c r="A46" s="271"/>
      <c r="B46" s="272"/>
      <c r="C46" s="272"/>
      <c r="D46" s="272"/>
      <c r="E46" s="272"/>
      <c r="F46" s="273"/>
    </row>
  </sheetData>
  <pageMargins left="0.7" right="0.7" top="0.75" bottom="0.75" header="0.3" footer="0.3"/>
  <pageSetup scale="83" orientation="portrait" r:id="rId1"/>
  <headerFooter>
    <oddHeader>&amp;C&amp;"Calibri,Bold"&amp;A</oddHeader>
    <oddFooter>&amp;Rprinted:  &amp;D&amp;T</oddFooter>
  </headerFooter>
  <drawing r:id="rId2"/>
  <legacyDrawing r:id="rId3"/>
  <controls>
    <mc:AlternateContent xmlns:mc="http://schemas.openxmlformats.org/markup-compatibility/2006">
      <mc:Choice Requires="x14">
        <control shapeId="2056" r:id="rId4" name="TextBox1">
          <controlPr defaultSize="0" autoLine="0" r:id="rId5">
            <anchor moveWithCells="1">
              <from>
                <xdr:col>0</xdr:col>
                <xdr:colOff>28575</xdr:colOff>
                <xdr:row>9</xdr:row>
                <xdr:rowOff>123825</xdr:rowOff>
              </from>
              <to>
                <xdr:col>5</xdr:col>
                <xdr:colOff>638175</xdr:colOff>
                <xdr:row>26</xdr:row>
                <xdr:rowOff>76200</xdr:rowOff>
              </to>
            </anchor>
          </controlPr>
        </control>
      </mc:Choice>
      <mc:Fallback>
        <control shapeId="2056" r:id="rId4" name="TextBox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5"/>
  <sheetViews>
    <sheetView showGridLines="0" topLeftCell="A4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850</v>
      </c>
      <c r="O1" s="164"/>
    </row>
    <row r="2" spans="1:19" ht="23.25" customHeight="1" thickBot="1" x14ac:dyDescent="0.3">
      <c r="A2" s="290" t="s">
        <v>810</v>
      </c>
      <c r="B2" s="232"/>
      <c r="C2" s="292" t="s">
        <v>851</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459824.83</f>
        <v>459824.83</v>
      </c>
      <c r="F6" s="171">
        <f>395078.37+49574.14</f>
        <v>444652.51</v>
      </c>
      <c r="G6" s="171">
        <f>389518.64+774.6</f>
        <v>390293.24</v>
      </c>
      <c r="H6" s="171">
        <f>SUM('FT Salaries'!E70)</f>
        <v>445785.45663999999</v>
      </c>
      <c r="I6" s="172">
        <f>SUM(H6)</f>
        <v>445785.45663999999</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459824.83</v>
      </c>
      <c r="F8" s="179">
        <f>SUM(F6:F7)</f>
        <v>444652.51</v>
      </c>
      <c r="G8" s="179">
        <f>SUM(G6:G7)</f>
        <v>390293.24</v>
      </c>
      <c r="H8" s="179">
        <f>SUM(H6:H7)</f>
        <v>445785.45663999999</v>
      </c>
      <c r="I8" s="179">
        <f>SUM(I6:I7)</f>
        <v>445785.45663999999</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20000</v>
      </c>
      <c r="F12" s="171">
        <v>20000</v>
      </c>
      <c r="G12" s="171">
        <v>30000</v>
      </c>
      <c r="H12" s="334">
        <v>20000</v>
      </c>
      <c r="I12" s="335">
        <v>20000</v>
      </c>
      <c r="J12" s="173">
        <f t="shared" si="1"/>
        <v>0</v>
      </c>
      <c r="K12" s="174">
        <f t="shared" ref="K12:K18" si="2">(I12-H12)/H12</f>
        <v>0</v>
      </c>
      <c r="L12" s="172"/>
      <c r="M12" s="175"/>
      <c r="N12" s="175"/>
      <c r="O12" s="175"/>
      <c r="P12" s="147"/>
      <c r="Q12" s="157"/>
      <c r="R12" s="157"/>
      <c r="S12" s="157"/>
    </row>
    <row r="13" spans="1:19" x14ac:dyDescent="0.2">
      <c r="A13" s="169" t="s">
        <v>591</v>
      </c>
      <c r="B13" s="318">
        <v>601307</v>
      </c>
      <c r="C13" s="146" t="s">
        <v>590</v>
      </c>
      <c r="D13" s="170"/>
      <c r="E13" s="171">
        <v>93890.03</v>
      </c>
      <c r="F13" s="171">
        <v>106019.61</v>
      </c>
      <c r="G13" s="171">
        <v>120259.77</v>
      </c>
      <c r="H13" s="334">
        <v>102955</v>
      </c>
      <c r="I13" s="335">
        <v>103000</v>
      </c>
      <c r="J13" s="173">
        <f t="shared" si="1"/>
        <v>45</v>
      </c>
      <c r="K13" s="174">
        <f t="shared" si="2"/>
        <v>4.370841629838279E-4</v>
      </c>
      <c r="L13" s="172"/>
      <c r="M13" s="175"/>
      <c r="N13" s="175"/>
      <c r="O13" s="175"/>
      <c r="P13" s="147"/>
      <c r="Q13" s="157"/>
      <c r="R13" s="157"/>
      <c r="S13" s="157"/>
    </row>
    <row r="14" spans="1:19" x14ac:dyDescent="0.2">
      <c r="A14" s="169">
        <v>612410</v>
      </c>
      <c r="B14" s="169">
        <v>601400</v>
      </c>
      <c r="C14" s="146" t="s">
        <v>971</v>
      </c>
      <c r="D14" s="170"/>
      <c r="E14" s="171"/>
      <c r="F14" s="171"/>
      <c r="G14" s="171"/>
      <c r="H14" s="334">
        <v>565.51</v>
      </c>
      <c r="I14" s="335">
        <v>3000</v>
      </c>
      <c r="J14" s="173">
        <f t="shared" si="1"/>
        <v>2434.4899999999998</v>
      </c>
      <c r="K14" s="174">
        <f t="shared" si="2"/>
        <v>4.3049459779667911</v>
      </c>
      <c r="L14" s="172"/>
      <c r="M14" s="175"/>
      <c r="N14" s="175"/>
      <c r="O14" s="175">
        <v>600</v>
      </c>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113890.03</v>
      </c>
      <c r="F18" s="185">
        <f t="shared" ref="F18:I18" si="3">SUM(F12:F17)</f>
        <v>126019.61</v>
      </c>
      <c r="G18" s="185">
        <f t="shared" si="3"/>
        <v>150259.77000000002</v>
      </c>
      <c r="H18" s="185">
        <f t="shared" si="3"/>
        <v>123520.51</v>
      </c>
      <c r="I18" s="185">
        <f t="shared" si="3"/>
        <v>126000</v>
      </c>
      <c r="J18" s="185">
        <f t="shared" si="1"/>
        <v>2479.4900000000052</v>
      </c>
      <c r="K18" s="186">
        <f t="shared" si="2"/>
        <v>2.0073508440015389E-2</v>
      </c>
      <c r="L18" s="185">
        <f>SUM(L12:L17)</f>
        <v>0</v>
      </c>
      <c r="M18" s="185">
        <f t="shared" ref="M18:O18" si="4">SUM(M12:M17)</f>
        <v>0</v>
      </c>
      <c r="N18" s="185">
        <f t="shared" si="4"/>
        <v>0</v>
      </c>
      <c r="O18" s="185">
        <f t="shared" si="4"/>
        <v>600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49885.200000000004</v>
      </c>
      <c r="F21" s="196">
        <v>44926.23</v>
      </c>
      <c r="G21" s="196">
        <v>59581.950000000004</v>
      </c>
      <c r="H21" s="317">
        <v>63063</v>
      </c>
      <c r="I21" s="317">
        <v>62000</v>
      </c>
      <c r="J21" s="197">
        <f t="shared" ref="J21:J39" si="5">I21-H21</f>
        <v>-1063</v>
      </c>
      <c r="K21" s="198">
        <f t="shared" ref="K21:K39" si="6">(I21-H21)/H21</f>
        <v>-1.6856159713302569E-2</v>
      </c>
      <c r="L21" s="196"/>
      <c r="M21" s="196"/>
      <c r="N21" s="196"/>
      <c r="O21" s="196"/>
      <c r="P21" s="199"/>
    </row>
    <row r="22" spans="1:19" ht="31.5" customHeight="1" x14ac:dyDescent="0.2">
      <c r="A22" s="193" t="s">
        <v>416</v>
      </c>
      <c r="B22" s="318">
        <v>702200</v>
      </c>
      <c r="C22" s="194" t="s">
        <v>11</v>
      </c>
      <c r="D22" s="195"/>
      <c r="E22" s="196">
        <v>89954.25</v>
      </c>
      <c r="F22" s="196">
        <v>86855.21</v>
      </c>
      <c r="G22" s="196">
        <v>69740.479999999996</v>
      </c>
      <c r="H22" s="317">
        <v>68269</v>
      </c>
      <c r="I22" s="317">
        <v>97500</v>
      </c>
      <c r="J22" s="197">
        <f t="shared" si="5"/>
        <v>29231</v>
      </c>
      <c r="K22" s="198">
        <f t="shared" si="6"/>
        <v>0.42817384171439454</v>
      </c>
      <c r="L22" s="196"/>
      <c r="M22" s="196"/>
      <c r="N22" s="196"/>
      <c r="O22" s="196">
        <v>16635</v>
      </c>
      <c r="P22" s="199" t="s">
        <v>972</v>
      </c>
    </row>
    <row r="23" spans="1:19" ht="31.5" customHeight="1" x14ac:dyDescent="0.2">
      <c r="A23" s="193" t="s">
        <v>387</v>
      </c>
      <c r="B23" s="318">
        <v>701406</v>
      </c>
      <c r="C23" s="194" t="s">
        <v>386</v>
      </c>
      <c r="D23" s="195"/>
      <c r="E23" s="196">
        <v>38650</v>
      </c>
      <c r="F23" s="196">
        <v>34125</v>
      </c>
      <c r="G23" s="196">
        <v>50075</v>
      </c>
      <c r="H23" s="317">
        <v>43475</v>
      </c>
      <c r="I23" s="317">
        <v>42600</v>
      </c>
      <c r="J23" s="197">
        <f t="shared" ref="J23:J29" si="7">I23-H23</f>
        <v>-875</v>
      </c>
      <c r="K23" s="198">
        <f t="shared" ref="K23:K29" si="8">(I23-H23)/H23</f>
        <v>-2.0126509488211614E-2</v>
      </c>
      <c r="L23" s="196"/>
      <c r="M23" s="196"/>
      <c r="N23" s="196"/>
      <c r="O23" s="196"/>
      <c r="P23" s="199"/>
    </row>
    <row r="24" spans="1:19" ht="31.5" customHeight="1" x14ac:dyDescent="0.2">
      <c r="A24" s="193" t="s">
        <v>377</v>
      </c>
      <c r="B24" s="318">
        <v>701500</v>
      </c>
      <c r="C24" s="194" t="s">
        <v>376</v>
      </c>
      <c r="D24" s="195"/>
      <c r="E24" s="196">
        <v>43.300000000000004</v>
      </c>
      <c r="F24" s="196">
        <v>450</v>
      </c>
      <c r="G24" s="196">
        <v>100</v>
      </c>
      <c r="H24" s="317"/>
      <c r="I24" s="317">
        <v>990</v>
      </c>
      <c r="J24" s="197">
        <f t="shared" si="7"/>
        <v>990</v>
      </c>
      <c r="K24" s="198" t="e">
        <f t="shared" si="8"/>
        <v>#DIV/0!</v>
      </c>
      <c r="L24" s="196"/>
      <c r="M24" s="196"/>
      <c r="N24" s="196"/>
      <c r="O24" s="196"/>
      <c r="P24" s="199"/>
    </row>
    <row r="25" spans="1:19" ht="31.5" customHeight="1" x14ac:dyDescent="0.2">
      <c r="A25" s="193" t="s">
        <v>375</v>
      </c>
      <c r="B25" s="318">
        <v>701501</v>
      </c>
      <c r="C25" s="194" t="s">
        <v>374</v>
      </c>
      <c r="D25" s="195"/>
      <c r="E25" s="196">
        <v>3875</v>
      </c>
      <c r="F25" s="196">
        <v>2650</v>
      </c>
      <c r="G25" s="196">
        <v>2650</v>
      </c>
      <c r="H25" s="317">
        <v>2850</v>
      </c>
      <c r="I25" s="317">
        <v>2850</v>
      </c>
      <c r="J25" s="197">
        <f t="shared" si="7"/>
        <v>0</v>
      </c>
      <c r="K25" s="198">
        <f t="shared" si="8"/>
        <v>0</v>
      </c>
      <c r="L25" s="196"/>
      <c r="M25" s="196"/>
      <c r="N25" s="196"/>
      <c r="O25" s="196"/>
      <c r="P25" s="199"/>
    </row>
    <row r="26" spans="1:19" ht="31.5" customHeight="1" x14ac:dyDescent="0.2">
      <c r="A26" s="193" t="s">
        <v>363</v>
      </c>
      <c r="B26" s="318">
        <v>701603</v>
      </c>
      <c r="C26" s="194" t="s">
        <v>362</v>
      </c>
      <c r="D26" s="195"/>
      <c r="E26" s="196">
        <v>3000</v>
      </c>
      <c r="F26" s="196">
        <v>2750</v>
      </c>
      <c r="G26" s="196">
        <v>2850</v>
      </c>
      <c r="H26" s="317">
        <v>4130</v>
      </c>
      <c r="I26" s="317">
        <v>4130</v>
      </c>
      <c r="J26" s="197">
        <f t="shared" si="7"/>
        <v>0</v>
      </c>
      <c r="K26" s="198">
        <f t="shared" si="8"/>
        <v>0</v>
      </c>
      <c r="L26" s="196"/>
      <c r="M26" s="196"/>
      <c r="N26" s="196"/>
      <c r="O26" s="196"/>
      <c r="P26" s="199"/>
    </row>
    <row r="27" spans="1:19" ht="31.5" customHeight="1" x14ac:dyDescent="0.2">
      <c r="A27" s="193" t="s">
        <v>361</v>
      </c>
      <c r="B27" s="318">
        <v>705001</v>
      </c>
      <c r="C27" s="194" t="s">
        <v>360</v>
      </c>
      <c r="D27" s="195"/>
      <c r="E27" s="196">
        <v>2553.48</v>
      </c>
      <c r="F27" s="196">
        <v>2200</v>
      </c>
      <c r="G27" s="196">
        <v>3516.82</v>
      </c>
      <c r="H27" s="317">
        <v>2380</v>
      </c>
      <c r="I27" s="317">
        <v>4500</v>
      </c>
      <c r="J27" s="197">
        <f t="shared" si="7"/>
        <v>2120</v>
      </c>
      <c r="K27" s="198">
        <f t="shared" si="8"/>
        <v>0.89075630252100846</v>
      </c>
      <c r="L27" s="196"/>
      <c r="M27" s="196"/>
      <c r="N27" s="196"/>
      <c r="O27" s="196"/>
      <c r="P27" s="199"/>
    </row>
    <row r="28" spans="1:19" ht="31.5" customHeight="1" x14ac:dyDescent="0.2">
      <c r="A28" s="193" t="s">
        <v>359</v>
      </c>
      <c r="B28" s="318">
        <v>705101</v>
      </c>
      <c r="C28" s="194" t="s">
        <v>358</v>
      </c>
      <c r="D28" s="195"/>
      <c r="E28" s="196">
        <v>67917.47</v>
      </c>
      <c r="F28" s="196">
        <v>96601.650000000009</v>
      </c>
      <c r="G28" s="196">
        <v>116210.90000000001</v>
      </c>
      <c r="H28" s="317">
        <v>219884</v>
      </c>
      <c r="I28" s="317">
        <v>210000</v>
      </c>
      <c r="J28" s="197">
        <f t="shared" si="7"/>
        <v>-9884</v>
      </c>
      <c r="K28" s="198">
        <f t="shared" si="8"/>
        <v>-4.4950974150006366E-2</v>
      </c>
      <c r="L28" s="196"/>
      <c r="M28" s="196"/>
      <c r="N28" s="196"/>
      <c r="O28" s="196"/>
      <c r="P28" s="199"/>
    </row>
    <row r="29" spans="1:19" ht="38.25" x14ac:dyDescent="0.2">
      <c r="A29" s="193" t="s">
        <v>357</v>
      </c>
      <c r="B29" s="318">
        <v>705002</v>
      </c>
      <c r="C29" s="194" t="s">
        <v>356</v>
      </c>
      <c r="D29" s="195"/>
      <c r="E29" s="196">
        <v>19338.87</v>
      </c>
      <c r="F29" s="196">
        <v>15364.57</v>
      </c>
      <c r="G29" s="196">
        <v>14431.710000000001</v>
      </c>
      <c r="H29" s="317">
        <v>22228</v>
      </c>
      <c r="I29" s="317">
        <v>0</v>
      </c>
      <c r="J29" s="197">
        <f t="shared" si="7"/>
        <v>-22228</v>
      </c>
      <c r="K29" s="198">
        <f t="shared" si="8"/>
        <v>-1</v>
      </c>
      <c r="L29" s="196">
        <v>11000</v>
      </c>
      <c r="M29" s="196"/>
      <c r="N29" s="196"/>
      <c r="O29" s="196"/>
      <c r="P29" s="199" t="s">
        <v>1007</v>
      </c>
    </row>
    <row r="30" spans="1:19" ht="38.25" x14ac:dyDescent="0.2">
      <c r="A30" s="193" t="s">
        <v>355</v>
      </c>
      <c r="B30" s="318">
        <v>705102</v>
      </c>
      <c r="C30" s="194" t="s">
        <v>354</v>
      </c>
      <c r="D30" s="195"/>
      <c r="E30" s="196">
        <v>17085.63</v>
      </c>
      <c r="F30" s="196">
        <v>15606.84</v>
      </c>
      <c r="G30" s="196">
        <v>8812.01</v>
      </c>
      <c r="H30" s="317">
        <v>10742</v>
      </c>
      <c r="I30" s="317">
        <v>0</v>
      </c>
      <c r="J30" s="197">
        <f t="shared" si="5"/>
        <v>-10742</v>
      </c>
      <c r="K30" s="198">
        <f t="shared" si="6"/>
        <v>-1</v>
      </c>
      <c r="L30" s="196">
        <v>14000</v>
      </c>
      <c r="M30" s="196"/>
      <c r="N30" s="196"/>
      <c r="O30" s="196"/>
      <c r="P30" s="199" t="s">
        <v>1007</v>
      </c>
    </row>
    <row r="31" spans="1:19" ht="31.5" customHeight="1" x14ac:dyDescent="0.2">
      <c r="A31" s="193" t="s">
        <v>349</v>
      </c>
      <c r="B31" s="318">
        <v>705100</v>
      </c>
      <c r="C31" s="194" t="s">
        <v>348</v>
      </c>
      <c r="D31" s="195"/>
      <c r="E31" s="196">
        <v>1390.98</v>
      </c>
      <c r="F31" s="196">
        <v>721.45</v>
      </c>
      <c r="G31" s="196">
        <v>456.40000000000003</v>
      </c>
      <c r="H31" s="317">
        <v>-68</v>
      </c>
      <c r="I31" s="317"/>
      <c r="J31" s="197">
        <f t="shared" si="5"/>
        <v>68</v>
      </c>
      <c r="K31" s="198">
        <f t="shared" si="6"/>
        <v>-1</v>
      </c>
      <c r="L31" s="196"/>
      <c r="M31" s="196"/>
      <c r="N31" s="196"/>
      <c r="O31" s="196"/>
      <c r="P31" s="199"/>
    </row>
    <row r="32" spans="1:19" ht="31.5" customHeight="1" x14ac:dyDescent="0.2">
      <c r="A32" s="193" t="s">
        <v>309</v>
      </c>
      <c r="B32" s="318">
        <v>706100</v>
      </c>
      <c r="C32" s="194" t="s">
        <v>308</v>
      </c>
      <c r="D32" s="195"/>
      <c r="E32" s="196">
        <v>56.03</v>
      </c>
      <c r="F32" s="196">
        <v>60.92</v>
      </c>
      <c r="G32" s="196">
        <v>20</v>
      </c>
      <c r="H32" s="317"/>
      <c r="I32" s="317"/>
      <c r="J32" s="197">
        <f t="shared" si="5"/>
        <v>0</v>
      </c>
      <c r="K32" s="198" t="e">
        <f t="shared" si="6"/>
        <v>#DIV/0!</v>
      </c>
      <c r="L32" s="196"/>
      <c r="M32" s="196"/>
      <c r="N32" s="196"/>
      <c r="O32" s="196"/>
      <c r="P32" s="199"/>
    </row>
    <row r="33" spans="1:16" ht="31.5" customHeight="1" x14ac:dyDescent="0.2">
      <c r="A33" s="193" t="s">
        <v>276</v>
      </c>
      <c r="B33" s="319">
        <v>706605</v>
      </c>
      <c r="C33" s="194" t="s">
        <v>275</v>
      </c>
      <c r="D33" s="195"/>
      <c r="E33" s="196">
        <v>1248.3</v>
      </c>
      <c r="F33" s="196">
        <v>6779.71</v>
      </c>
      <c r="G33" s="196">
        <v>8353.66</v>
      </c>
      <c r="H33" s="317">
        <v>8941</v>
      </c>
      <c r="I33" s="317">
        <v>9200</v>
      </c>
      <c r="J33" s="197">
        <f t="shared" si="5"/>
        <v>259</v>
      </c>
      <c r="K33" s="198">
        <f t="shared" si="6"/>
        <v>2.8967676993624875E-2</v>
      </c>
      <c r="L33" s="196"/>
      <c r="M33" s="196"/>
      <c r="N33" s="196"/>
      <c r="O33" s="196"/>
      <c r="P33" s="199"/>
    </row>
    <row r="34" spans="1:16" ht="31.5" customHeight="1" x14ac:dyDescent="0.2">
      <c r="A34" s="193" t="s">
        <v>258</v>
      </c>
      <c r="B34" s="318">
        <v>707101</v>
      </c>
      <c r="C34" s="194" t="s">
        <v>257</v>
      </c>
      <c r="D34" s="195"/>
      <c r="E34" s="196"/>
      <c r="F34" s="196">
        <v>6147</v>
      </c>
      <c r="G34" s="196">
        <v>7292.84</v>
      </c>
      <c r="H34" s="317">
        <v>6251</v>
      </c>
      <c r="I34" s="317">
        <v>6251</v>
      </c>
      <c r="J34" s="197">
        <f t="shared" si="5"/>
        <v>0</v>
      </c>
      <c r="K34" s="198">
        <f t="shared" si="6"/>
        <v>0</v>
      </c>
      <c r="L34" s="196"/>
      <c r="M34" s="196"/>
      <c r="N34" s="196"/>
      <c r="O34" s="196"/>
      <c r="P34" s="199"/>
    </row>
    <row r="35" spans="1:16" ht="31.5" customHeight="1" x14ac:dyDescent="0.2">
      <c r="A35" s="193" t="s">
        <v>244</v>
      </c>
      <c r="B35" s="318">
        <v>707001</v>
      </c>
      <c r="C35" s="194" t="s">
        <v>243</v>
      </c>
      <c r="D35" s="195"/>
      <c r="E35" s="196">
        <v>-1.01</v>
      </c>
      <c r="F35" s="196">
        <v>200.98000000000002</v>
      </c>
      <c r="G35" s="196">
        <v>-200</v>
      </c>
      <c r="H35" s="317"/>
      <c r="I35" s="317"/>
      <c r="J35" s="197">
        <f t="shared" si="5"/>
        <v>0</v>
      </c>
      <c r="K35" s="198" t="e">
        <f t="shared" si="6"/>
        <v>#DIV/0!</v>
      </c>
      <c r="L35" s="196"/>
      <c r="M35" s="196"/>
      <c r="N35" s="196"/>
      <c r="O35" s="196"/>
      <c r="P35" s="199"/>
    </row>
    <row r="36" spans="1:16" ht="31.5" customHeight="1" x14ac:dyDescent="0.2">
      <c r="A36" s="193" t="s">
        <v>232</v>
      </c>
      <c r="B36" s="318">
        <v>707152</v>
      </c>
      <c r="C36" s="194" t="s">
        <v>231</v>
      </c>
      <c r="D36" s="195"/>
      <c r="E36" s="196">
        <v>6835.26</v>
      </c>
      <c r="F36" s="196">
        <v>5521.88</v>
      </c>
      <c r="G36" s="317">
        <v>4762.8500000000004</v>
      </c>
      <c r="H36" s="317">
        <v>3240</v>
      </c>
      <c r="I36" s="317">
        <v>3240</v>
      </c>
      <c r="J36" s="197">
        <f t="shared" si="5"/>
        <v>0</v>
      </c>
      <c r="K36" s="198">
        <f t="shared" si="6"/>
        <v>0</v>
      </c>
      <c r="L36" s="196"/>
      <c r="M36" s="196"/>
      <c r="N36" s="196"/>
      <c r="O36" s="196"/>
      <c r="P36" s="199"/>
    </row>
    <row r="37" spans="1:16" ht="31.5" customHeight="1" x14ac:dyDescent="0.2">
      <c r="A37" s="193" t="s">
        <v>230</v>
      </c>
      <c r="B37" s="318">
        <v>707151</v>
      </c>
      <c r="C37" s="194" t="s">
        <v>15</v>
      </c>
      <c r="D37" s="195"/>
      <c r="E37" s="196">
        <v>1347.3600000000001</v>
      </c>
      <c r="F37" s="196">
        <v>1259.3399999999999</v>
      </c>
      <c r="G37" s="196">
        <v>1237.5</v>
      </c>
      <c r="H37" s="317">
        <v>1230</v>
      </c>
      <c r="I37" s="317">
        <v>1230</v>
      </c>
      <c r="J37" s="197">
        <f t="shared" si="5"/>
        <v>0</v>
      </c>
      <c r="K37" s="198">
        <f t="shared" si="6"/>
        <v>0</v>
      </c>
      <c r="L37" s="196"/>
      <c r="M37" s="196"/>
      <c r="N37" s="196"/>
      <c r="O37" s="196"/>
      <c r="P37" s="199"/>
    </row>
    <row r="38" spans="1:16" ht="31.5" customHeight="1" x14ac:dyDescent="0.2">
      <c r="A38" s="193" t="s">
        <v>229</v>
      </c>
      <c r="B38" s="318">
        <v>707151</v>
      </c>
      <c r="C38" s="194" t="s">
        <v>16</v>
      </c>
      <c r="D38" s="195"/>
      <c r="E38" s="196">
        <v>18.900000000000002</v>
      </c>
      <c r="F38" s="196">
        <v>41.27</v>
      </c>
      <c r="G38" s="196">
        <v>46.85</v>
      </c>
      <c r="H38" s="317">
        <v>25</v>
      </c>
      <c r="I38" s="317">
        <v>25</v>
      </c>
      <c r="J38" s="197">
        <f t="shared" si="5"/>
        <v>0</v>
      </c>
      <c r="K38" s="198">
        <f t="shared" si="6"/>
        <v>0</v>
      </c>
      <c r="L38" s="196"/>
      <c r="M38" s="196"/>
      <c r="N38" s="196"/>
      <c r="O38" s="196"/>
      <c r="P38" s="199"/>
    </row>
    <row r="39" spans="1:16" ht="31.5" customHeight="1" x14ac:dyDescent="0.2">
      <c r="A39" s="193" t="s">
        <v>220</v>
      </c>
      <c r="B39" s="318">
        <v>707300</v>
      </c>
      <c r="C39" s="194" t="s">
        <v>17</v>
      </c>
      <c r="D39" s="195"/>
      <c r="E39" s="196">
        <v>628.28</v>
      </c>
      <c r="F39" s="196"/>
      <c r="G39" s="196"/>
      <c r="H39" s="317"/>
      <c r="I39" s="317"/>
      <c r="J39" s="197">
        <f t="shared" si="5"/>
        <v>0</v>
      </c>
      <c r="K39" s="198" t="e">
        <f t="shared" si="6"/>
        <v>#DIV/0!</v>
      </c>
      <c r="L39" s="196"/>
      <c r="M39" s="196"/>
      <c r="N39" s="196"/>
      <c r="O39" s="196"/>
      <c r="P39" s="199"/>
    </row>
    <row r="40" spans="1:16" ht="31.5" customHeight="1" x14ac:dyDescent="0.2">
      <c r="A40" s="193" t="s">
        <v>203</v>
      </c>
      <c r="B40" s="318">
        <v>707301</v>
      </c>
      <c r="C40" s="194" t="s">
        <v>18</v>
      </c>
      <c r="D40" s="195"/>
      <c r="E40" s="196"/>
      <c r="F40" s="196">
        <v>1099.29</v>
      </c>
      <c r="G40" s="196">
        <v>0</v>
      </c>
      <c r="H40" s="317">
        <v>6122</v>
      </c>
      <c r="I40" s="317">
        <v>2000</v>
      </c>
      <c r="J40" s="197">
        <f t="shared" ref="J40:J51" si="9">I40-H40</f>
        <v>-4122</v>
      </c>
      <c r="K40" s="198">
        <f t="shared" ref="K40:K51" si="10">(I40-H40)/H40</f>
        <v>-0.67330937602090823</v>
      </c>
      <c r="L40" s="196"/>
      <c r="M40" s="196"/>
      <c r="N40" s="196"/>
      <c r="O40" s="196"/>
      <c r="P40" s="199"/>
    </row>
    <row r="41" spans="1:16" ht="31.5" customHeight="1" x14ac:dyDescent="0.2">
      <c r="A41" s="193" t="s">
        <v>198</v>
      </c>
      <c r="B41" s="318">
        <v>707304</v>
      </c>
      <c r="C41" s="194" t="s">
        <v>197</v>
      </c>
      <c r="D41" s="195"/>
      <c r="E41" s="196">
        <v>3467.23</v>
      </c>
      <c r="F41" s="196">
        <v>158.06</v>
      </c>
      <c r="G41" s="196"/>
      <c r="H41" s="317">
        <v>1276</v>
      </c>
      <c r="I41" s="317">
        <v>2000</v>
      </c>
      <c r="J41" s="197">
        <f t="shared" si="9"/>
        <v>724</v>
      </c>
      <c r="K41" s="198">
        <f t="shared" si="10"/>
        <v>0.56739811912225702</v>
      </c>
      <c r="L41" s="196"/>
      <c r="M41" s="196"/>
      <c r="N41" s="196"/>
      <c r="O41" s="196"/>
      <c r="P41" s="199"/>
    </row>
    <row r="42" spans="1:16" ht="31.5" customHeight="1" x14ac:dyDescent="0.2">
      <c r="A42" s="193" t="s">
        <v>196</v>
      </c>
      <c r="B42" s="318">
        <v>707309</v>
      </c>
      <c r="C42" s="194" t="s">
        <v>19</v>
      </c>
      <c r="D42" s="195"/>
      <c r="E42" s="196">
        <v>15.200000000000001</v>
      </c>
      <c r="F42" s="196"/>
      <c r="G42" s="196">
        <v>268</v>
      </c>
      <c r="H42" s="317"/>
      <c r="I42" s="317"/>
      <c r="J42" s="197">
        <f t="shared" si="9"/>
        <v>0</v>
      </c>
      <c r="K42" s="198" t="e">
        <f t="shared" si="10"/>
        <v>#DIV/0!</v>
      </c>
      <c r="L42" s="196"/>
      <c r="M42" s="196"/>
      <c r="N42" s="196"/>
      <c r="O42" s="196"/>
      <c r="P42" s="199"/>
    </row>
    <row r="43" spans="1:16" ht="31.5" customHeight="1" x14ac:dyDescent="0.2">
      <c r="A43" s="193" t="s">
        <v>193</v>
      </c>
      <c r="B43" s="318">
        <v>707307</v>
      </c>
      <c r="C43" s="194" t="s">
        <v>192</v>
      </c>
      <c r="D43" s="195"/>
      <c r="E43" s="196">
        <v>240</v>
      </c>
      <c r="F43" s="196">
        <v>195</v>
      </c>
      <c r="G43" s="196">
        <v>240</v>
      </c>
      <c r="H43" s="317"/>
      <c r="I43" s="317"/>
      <c r="J43" s="197">
        <f t="shared" si="9"/>
        <v>0</v>
      </c>
      <c r="K43" s="198" t="e">
        <f t="shared" si="10"/>
        <v>#DIV/0!</v>
      </c>
      <c r="L43" s="196"/>
      <c r="M43" s="196"/>
      <c r="N43" s="196"/>
      <c r="O43" s="196"/>
      <c r="P43" s="199"/>
    </row>
    <row r="44" spans="1:16" ht="31.5" customHeight="1" x14ac:dyDescent="0.2">
      <c r="A44" s="193" t="s">
        <v>183</v>
      </c>
      <c r="B44" s="318">
        <v>707403</v>
      </c>
      <c r="C44" s="194" t="s">
        <v>182</v>
      </c>
      <c r="D44" s="195"/>
      <c r="E44" s="196">
        <v>75.88</v>
      </c>
      <c r="F44" s="196"/>
      <c r="G44" s="196"/>
      <c r="H44" s="317"/>
      <c r="I44" s="317"/>
      <c r="J44" s="197">
        <f t="shared" si="9"/>
        <v>0</v>
      </c>
      <c r="K44" s="198" t="e">
        <f t="shared" si="10"/>
        <v>#DIV/0!</v>
      </c>
      <c r="L44" s="196"/>
      <c r="M44" s="196"/>
      <c r="N44" s="196"/>
      <c r="O44" s="196"/>
      <c r="P44" s="199"/>
    </row>
    <row r="45" spans="1:16" ht="31.5" customHeight="1" x14ac:dyDescent="0.2">
      <c r="A45" s="193" t="s">
        <v>177</v>
      </c>
      <c r="B45" s="318">
        <v>707505</v>
      </c>
      <c r="C45" s="194" t="s">
        <v>176</v>
      </c>
      <c r="D45" s="195"/>
      <c r="E45" s="196">
        <v>158.39000000000001</v>
      </c>
      <c r="F45" s="196">
        <v>426.89</v>
      </c>
      <c r="G45" s="196">
        <v>36.9</v>
      </c>
      <c r="H45" s="317"/>
      <c r="I45" s="317"/>
      <c r="J45" s="197">
        <f t="shared" si="9"/>
        <v>0</v>
      </c>
      <c r="K45" s="198" t="e">
        <f t="shared" si="10"/>
        <v>#DIV/0!</v>
      </c>
      <c r="L45" s="196"/>
      <c r="M45" s="196"/>
      <c r="N45" s="196"/>
      <c r="O45" s="196"/>
      <c r="P45" s="199"/>
    </row>
    <row r="46" spans="1:16" ht="31.5" customHeight="1" x14ac:dyDescent="0.2">
      <c r="A46" s="193" t="s">
        <v>101</v>
      </c>
      <c r="B46" s="318">
        <v>708060</v>
      </c>
      <c r="C46" s="194" t="s">
        <v>100</v>
      </c>
      <c r="D46" s="195"/>
      <c r="E46" s="196">
        <v>48279</v>
      </c>
      <c r="F46" s="196"/>
      <c r="G46" s="196"/>
      <c r="H46" s="317"/>
      <c r="I46" s="317"/>
      <c r="J46" s="197">
        <f t="shared" si="9"/>
        <v>0</v>
      </c>
      <c r="K46" s="198" t="e">
        <f t="shared" si="10"/>
        <v>#DIV/0!</v>
      </c>
      <c r="L46" s="196"/>
      <c r="M46" s="196"/>
      <c r="N46" s="196"/>
      <c r="O46" s="196"/>
      <c r="P46" s="199"/>
    </row>
    <row r="47" spans="1:16" ht="31.5" customHeight="1" x14ac:dyDescent="0.2">
      <c r="A47" s="193"/>
      <c r="B47" s="193"/>
      <c r="C47" s="194"/>
      <c r="D47" s="195"/>
      <c r="E47" s="196"/>
      <c r="F47" s="196"/>
      <c r="G47" s="196"/>
      <c r="H47" s="317"/>
      <c r="I47" s="317"/>
      <c r="J47" s="197">
        <f t="shared" si="9"/>
        <v>0</v>
      </c>
      <c r="K47" s="198" t="e">
        <f t="shared" si="10"/>
        <v>#DIV/0!</v>
      </c>
      <c r="L47" s="196"/>
      <c r="M47" s="196"/>
      <c r="N47" s="196"/>
      <c r="O47" s="196"/>
      <c r="P47" s="199"/>
    </row>
    <row r="48" spans="1:16" ht="31.5" customHeight="1" x14ac:dyDescent="0.2">
      <c r="A48" s="193"/>
      <c r="B48" s="193"/>
      <c r="C48" s="194"/>
      <c r="D48" s="195"/>
      <c r="E48" s="196"/>
      <c r="F48" s="196"/>
      <c r="G48" s="196"/>
      <c r="H48" s="317"/>
      <c r="I48" s="317"/>
      <c r="J48" s="197">
        <f t="shared" si="9"/>
        <v>0</v>
      </c>
      <c r="K48" s="198" t="e">
        <f t="shared" si="10"/>
        <v>#DIV/0!</v>
      </c>
      <c r="L48" s="196"/>
      <c r="M48" s="196"/>
      <c r="N48" s="196"/>
      <c r="O48" s="196"/>
      <c r="P48" s="199"/>
    </row>
    <row r="49" spans="1:16" ht="31.5" customHeight="1" x14ac:dyDescent="0.2">
      <c r="A49" s="193"/>
      <c r="B49" s="193"/>
      <c r="C49" s="194"/>
      <c r="D49" s="195"/>
      <c r="E49" s="196"/>
      <c r="F49" s="196"/>
      <c r="G49" s="196"/>
      <c r="H49" s="317"/>
      <c r="I49" s="317"/>
      <c r="J49" s="197">
        <f t="shared" si="9"/>
        <v>0</v>
      </c>
      <c r="K49" s="198" t="e">
        <f t="shared" si="10"/>
        <v>#DIV/0!</v>
      </c>
      <c r="L49" s="196"/>
      <c r="M49" s="196"/>
      <c r="N49" s="196"/>
      <c r="O49" s="196"/>
      <c r="P49" s="199"/>
    </row>
    <row r="50" spans="1:16" ht="31.5" customHeight="1" x14ac:dyDescent="0.2">
      <c r="A50" s="193"/>
      <c r="B50" s="193"/>
      <c r="C50" s="194"/>
      <c r="D50" s="195"/>
      <c r="E50" s="196"/>
      <c r="F50" s="196"/>
      <c r="G50" s="196"/>
      <c r="H50" s="196"/>
      <c r="I50" s="196"/>
      <c r="J50" s="197">
        <f t="shared" si="9"/>
        <v>0</v>
      </c>
      <c r="K50" s="198" t="e">
        <f t="shared" si="10"/>
        <v>#DIV/0!</v>
      </c>
      <c r="L50" s="196"/>
      <c r="M50" s="196"/>
      <c r="N50" s="196"/>
      <c r="O50" s="196"/>
      <c r="P50" s="199"/>
    </row>
    <row r="51" spans="1:16" ht="13.5" thickBot="1" x14ac:dyDescent="0.25">
      <c r="A51" s="200"/>
      <c r="B51" s="200"/>
      <c r="C51" s="177" t="s">
        <v>22</v>
      </c>
      <c r="D51" s="201"/>
      <c r="E51" s="180">
        <f>SUM(E21:E50)</f>
        <v>356063.00000000006</v>
      </c>
      <c r="F51" s="180">
        <f t="shared" ref="F51:I51" si="11">SUM(F21:F50)</f>
        <v>324141.2900000001</v>
      </c>
      <c r="G51" s="180">
        <f t="shared" si="11"/>
        <v>350483.87000000005</v>
      </c>
      <c r="H51" s="180">
        <f t="shared" si="11"/>
        <v>464038</v>
      </c>
      <c r="I51" s="180">
        <f t="shared" si="11"/>
        <v>448516</v>
      </c>
      <c r="J51" s="180">
        <f t="shared" si="9"/>
        <v>-15522</v>
      </c>
      <c r="K51" s="181">
        <f t="shared" si="10"/>
        <v>-3.3449846779789585E-2</v>
      </c>
      <c r="L51" s="180">
        <f>SUM(L21:L50)</f>
        <v>25000</v>
      </c>
      <c r="M51" s="180">
        <f t="shared" ref="M51:O51" si="12">SUM(M21:M50)</f>
        <v>0</v>
      </c>
      <c r="N51" s="180">
        <f t="shared" si="12"/>
        <v>0</v>
      </c>
      <c r="O51" s="180">
        <f t="shared" si="12"/>
        <v>16635</v>
      </c>
      <c r="P51" s="202"/>
    </row>
    <row r="52" spans="1:16" ht="13.5" thickBot="1" x14ac:dyDescent="0.25">
      <c r="A52" s="203"/>
      <c r="B52" s="203"/>
      <c r="C52" s="204" t="s">
        <v>702</v>
      </c>
      <c r="D52" s="205"/>
      <c r="E52" s="206">
        <f>E18+E51</f>
        <v>469953.03</v>
      </c>
      <c r="F52" s="206">
        <f>F18+F51</f>
        <v>450160.90000000008</v>
      </c>
      <c r="G52" s="206">
        <f>G18+G51</f>
        <v>500743.64000000007</v>
      </c>
      <c r="H52" s="206">
        <f>H18+H51</f>
        <v>587558.51</v>
      </c>
      <c r="I52" s="206">
        <f>I18+I51</f>
        <v>574516</v>
      </c>
      <c r="J52" s="206">
        <f>I52-H52</f>
        <v>-13042.510000000009</v>
      </c>
      <c r="K52" s="207">
        <f>(I52-H52)/H52</f>
        <v>-2.2197806308685765E-2</v>
      </c>
      <c r="L52" s="206">
        <f>L18+L51</f>
        <v>25000</v>
      </c>
      <c r="M52" s="206">
        <f>M18+M51</f>
        <v>0</v>
      </c>
      <c r="N52" s="206">
        <f>N18+N51</f>
        <v>0</v>
      </c>
      <c r="O52" s="206">
        <f>O18+O51</f>
        <v>17235</v>
      </c>
      <c r="P52" s="208"/>
    </row>
    <row r="53" spans="1:16" x14ac:dyDescent="0.2">
      <c r="A53" s="203"/>
      <c r="B53" s="203"/>
      <c r="C53" s="209" t="s">
        <v>698</v>
      </c>
      <c r="D53" s="210"/>
      <c r="E53" s="211"/>
      <c r="F53" s="211"/>
      <c r="G53" s="211"/>
      <c r="H53" s="212">
        <v>0</v>
      </c>
      <c r="I53" s="213"/>
      <c r="J53" s="213"/>
      <c r="K53" s="214"/>
      <c r="L53" s="213"/>
      <c r="M53" s="213"/>
      <c r="N53" s="213"/>
      <c r="O53" s="213"/>
      <c r="P53" s="215"/>
    </row>
    <row r="54" spans="1:16" x14ac:dyDescent="0.2">
      <c r="A54" s="203"/>
      <c r="B54" s="203"/>
      <c r="C54" s="183" t="s">
        <v>699</v>
      </c>
      <c r="D54" s="184"/>
      <c r="E54" s="216"/>
      <c r="F54" s="216"/>
      <c r="G54" s="216"/>
      <c r="H54" s="185">
        <f>557742+20000</f>
        <v>577742</v>
      </c>
      <c r="I54" s="217"/>
      <c r="J54" s="217"/>
      <c r="K54" s="218"/>
      <c r="L54" s="217"/>
      <c r="M54" s="217"/>
      <c r="N54" s="217"/>
      <c r="O54" s="217"/>
      <c r="P54" s="219"/>
    </row>
    <row r="55" spans="1:16" x14ac:dyDescent="0.2">
      <c r="A55" s="203"/>
      <c r="B55" s="203"/>
      <c r="C55" s="183" t="s">
        <v>700</v>
      </c>
      <c r="D55" s="184"/>
      <c r="E55" s="216"/>
      <c r="F55" s="216"/>
      <c r="G55" s="216"/>
      <c r="H55" s="220">
        <f>H53-H10</f>
        <v>0</v>
      </c>
      <c r="I55" s="217"/>
      <c r="J55" s="217"/>
      <c r="K55" s="218"/>
      <c r="L55" s="217"/>
      <c r="M55" s="217"/>
      <c r="N55" s="217"/>
      <c r="O55" s="217"/>
      <c r="P55" s="219"/>
    </row>
    <row r="56" spans="1:16" x14ac:dyDescent="0.2">
      <c r="A56" s="221"/>
      <c r="B56" s="221"/>
      <c r="C56" s="183" t="s">
        <v>701</v>
      </c>
      <c r="D56" s="184"/>
      <c r="E56" s="217"/>
      <c r="F56" s="217"/>
      <c r="G56" s="217"/>
      <c r="H56" s="220">
        <f>H54-H52</f>
        <v>-9816.5100000000093</v>
      </c>
      <c r="I56" s="217"/>
      <c r="J56" s="217"/>
      <c r="K56" s="218"/>
      <c r="L56" s="217"/>
      <c r="M56" s="217"/>
      <c r="N56" s="217"/>
      <c r="O56" s="217"/>
      <c r="P56" s="219"/>
    </row>
    <row r="58" spans="1:16" s="157" customFormat="1" ht="27" customHeight="1" thickBot="1" x14ac:dyDescent="0.25">
      <c r="A58" s="158" t="s">
        <v>687</v>
      </c>
      <c r="B58" s="158" t="s">
        <v>687</v>
      </c>
      <c r="M58" s="406" t="s">
        <v>690</v>
      </c>
      <c r="N58" s="406"/>
      <c r="O58" s="406"/>
    </row>
    <row r="59" spans="1:16" s="157" customFormat="1" ht="51.75" thickBot="1" x14ac:dyDescent="0.25">
      <c r="A59" s="225"/>
      <c r="B59" s="225"/>
      <c r="C59" s="229" t="s">
        <v>633</v>
      </c>
      <c r="D59" s="249"/>
      <c r="E59" s="234" t="s">
        <v>749</v>
      </c>
      <c r="F59" s="234" t="s">
        <v>750</v>
      </c>
      <c r="G59" s="234" t="s">
        <v>751</v>
      </c>
      <c r="H59" s="294" t="s">
        <v>747</v>
      </c>
      <c r="I59" s="234" t="s">
        <v>748</v>
      </c>
      <c r="J59" s="234" t="s">
        <v>745</v>
      </c>
      <c r="K59" s="295" t="s">
        <v>641</v>
      </c>
      <c r="M59" s="145"/>
      <c r="N59" s="145" t="s">
        <v>693</v>
      </c>
      <c r="O59" s="145" t="s">
        <v>694</v>
      </c>
    </row>
    <row r="60" spans="1:16" s="157" customFormat="1" x14ac:dyDescent="0.2">
      <c r="A60" s="225"/>
      <c r="B60" s="225"/>
      <c r="C60" s="194" t="s">
        <v>970</v>
      </c>
      <c r="D60" s="336"/>
      <c r="E60" s="226"/>
      <c r="F60" s="226"/>
      <c r="G60" s="226"/>
      <c r="H60" s="226">
        <v>9817</v>
      </c>
      <c r="I60" s="226">
        <v>20000</v>
      </c>
      <c r="J60" s="227">
        <f>I60-H60</f>
        <v>10183</v>
      </c>
      <c r="K60" s="228">
        <f>(I60-H60)/H60</f>
        <v>1.0372822654578793</v>
      </c>
      <c r="M60" s="146" t="s">
        <v>691</v>
      </c>
      <c r="N60" s="146">
        <v>6</v>
      </c>
      <c r="O60" s="146">
        <v>0</v>
      </c>
    </row>
    <row r="61" spans="1:16" s="157" customFormat="1" x14ac:dyDescent="0.2">
      <c r="M61" s="146" t="s">
        <v>692</v>
      </c>
      <c r="N61" s="146"/>
      <c r="O61" s="146"/>
    </row>
    <row r="62" spans="1:16" s="157" customFormat="1" x14ac:dyDescent="0.2">
      <c r="M62" s="146" t="s">
        <v>23</v>
      </c>
      <c r="N62" s="146">
        <f>SUM(N60:N61)</f>
        <v>6</v>
      </c>
      <c r="O62" s="146">
        <f>SUM(O60:O61)</f>
        <v>0</v>
      </c>
    </row>
    <row r="63" spans="1:16" s="157" customFormat="1" x14ac:dyDescent="0.2"/>
    <row r="64" spans="1:16" s="157" customFormat="1" x14ac:dyDescent="0.2"/>
    <row r="65" s="157" customFormat="1" x14ac:dyDescent="0.2"/>
  </sheetData>
  <mergeCells count="2">
    <mergeCell ref="L3:N3"/>
    <mergeCell ref="M58:O58"/>
  </mergeCells>
  <pageMargins left="0.25" right="0.25" top="0.25" bottom="0" header="0.3" footer="0.3"/>
  <pageSetup paperSize="5" scale="70" orientation="landscape" r:id="rId1"/>
  <headerFooter>
    <oddHeader>&amp;C&amp;"Calibri,Bold"&amp;A</oddHeader>
    <oddFooter>&amp;Rprinted:  &amp;D&amp;T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2"/>
  <sheetViews>
    <sheetView showGridLines="0" zoomScaleNormal="100" workbookViewId="0">
      <selection activeCell="O38" sqref="O38"/>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852</v>
      </c>
      <c r="O1" s="164"/>
    </row>
    <row r="2" spans="1:19" ht="23.25" customHeight="1" thickBot="1" x14ac:dyDescent="0.3">
      <c r="A2" s="290" t="s">
        <v>810</v>
      </c>
      <c r="B2" s="232"/>
      <c r="C2" s="292" t="s">
        <v>853</v>
      </c>
      <c r="O2" s="164"/>
    </row>
    <row r="3" spans="1:19" ht="32.25" customHeight="1" thickBot="1" x14ac:dyDescent="0.25">
      <c r="A3" s="165" t="s">
        <v>864</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44770.35+3481.98</f>
        <v>48252.33</v>
      </c>
      <c r="F6" s="171">
        <f>49000.14</f>
        <v>49000.14</v>
      </c>
      <c r="G6" s="171">
        <f>52942.7</f>
        <v>52942.7</v>
      </c>
      <c r="H6" s="313"/>
      <c r="I6" s="217"/>
      <c r="J6" s="173">
        <f>I6-H6</f>
        <v>0</v>
      </c>
      <c r="K6" s="174" t="e">
        <f>(I6-H6)/H6</f>
        <v>#DIV/0!</v>
      </c>
      <c r="L6" s="172"/>
      <c r="M6" s="175"/>
      <c r="N6" s="175"/>
      <c r="O6" s="175"/>
      <c r="P6" s="147"/>
      <c r="Q6" s="157"/>
      <c r="R6" s="157"/>
      <c r="S6" s="157"/>
    </row>
    <row r="7" spans="1:19" ht="32.25" customHeight="1" x14ac:dyDescent="0.2">
      <c r="A7" s="169"/>
      <c r="B7" s="169"/>
      <c r="C7" s="146"/>
      <c r="D7" s="170"/>
      <c r="E7" s="171">
        <v>0</v>
      </c>
      <c r="F7" s="171">
        <v>0</v>
      </c>
      <c r="G7" s="171">
        <v>0</v>
      </c>
      <c r="H7" s="313"/>
      <c r="I7" s="217"/>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48252.33</v>
      </c>
      <c r="F8" s="179">
        <f>SUM(F6:F7)</f>
        <v>49000.14</v>
      </c>
      <c r="G8" s="179">
        <f>SUM(G6:G7)</f>
        <v>52942.7</v>
      </c>
      <c r="H8" s="179">
        <f>SUM(H6:H7)</f>
        <v>0</v>
      </c>
      <c r="I8" s="179">
        <f>SUM(I6:I7)</f>
        <v>0</v>
      </c>
      <c r="J8" s="180">
        <f>I8-H8</f>
        <v>0</v>
      </c>
      <c r="K8" s="181" t="e">
        <f>(I8-H8)/H8</f>
        <v>#DIV/0!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313"/>
      <c r="I10" s="217"/>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c r="B12" s="169"/>
      <c r="C12" s="146"/>
      <c r="D12" s="170"/>
      <c r="E12" s="171"/>
      <c r="F12" s="171"/>
      <c r="G12" s="171"/>
      <c r="H12" s="313"/>
      <c r="I12" s="217"/>
      <c r="J12" s="173">
        <f t="shared" si="1"/>
        <v>0</v>
      </c>
      <c r="K12" s="174" t="e">
        <f t="shared" ref="K12:K18" si="2">(I12-H12)/H12</f>
        <v>#DIV/0!</v>
      </c>
      <c r="L12" s="172"/>
      <c r="M12" s="175"/>
      <c r="N12" s="175"/>
      <c r="O12" s="175"/>
      <c r="P12" s="147"/>
      <c r="Q12" s="157"/>
      <c r="R12" s="157"/>
      <c r="S12" s="157"/>
    </row>
    <row r="13" spans="1:19" x14ac:dyDescent="0.2">
      <c r="A13" s="169"/>
      <c r="B13" s="169"/>
      <c r="C13" s="146"/>
      <c r="D13" s="170"/>
      <c r="E13" s="171"/>
      <c r="F13" s="171"/>
      <c r="G13" s="171"/>
      <c r="H13" s="313"/>
      <c r="I13" s="217"/>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313"/>
      <c r="I14" s="217"/>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313"/>
      <c r="I15" s="217"/>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313"/>
      <c r="I16" s="217"/>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313"/>
      <c r="I17" s="217"/>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0</v>
      </c>
      <c r="F18" s="185">
        <f t="shared" ref="F18:I18" si="3">SUM(F12:F17)</f>
        <v>0</v>
      </c>
      <c r="G18" s="185">
        <f t="shared" si="3"/>
        <v>0</v>
      </c>
      <c r="H18" s="185">
        <f t="shared" si="3"/>
        <v>0</v>
      </c>
      <c r="I18" s="185">
        <f t="shared" si="3"/>
        <v>0</v>
      </c>
      <c r="J18" s="185">
        <f t="shared" si="1"/>
        <v>0</v>
      </c>
      <c r="K18" s="186" t="e">
        <f t="shared" si="2"/>
        <v>#DIV/0!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416</v>
      </c>
      <c r="B21" s="318">
        <v>702200</v>
      </c>
      <c r="C21" s="194" t="s">
        <v>11</v>
      </c>
      <c r="D21" s="195"/>
      <c r="E21" s="196">
        <v>1138.95</v>
      </c>
      <c r="F21" s="196">
        <v>3304.36</v>
      </c>
      <c r="G21" s="196">
        <v>3668.4900000000002</v>
      </c>
      <c r="H21" s="317"/>
      <c r="I21" s="314"/>
      <c r="J21" s="197">
        <f t="shared" ref="J21:J38" si="5">I21-H21</f>
        <v>0</v>
      </c>
      <c r="K21" s="198" t="e">
        <f t="shared" ref="K21:K38" si="6">(I21-H21)/H21</f>
        <v>#DIV/0!</v>
      </c>
      <c r="L21" s="196"/>
      <c r="M21" s="196"/>
      <c r="N21" s="196"/>
      <c r="O21" s="196"/>
      <c r="P21" s="199"/>
    </row>
    <row r="22" spans="1:19" ht="31.5" customHeight="1" x14ac:dyDescent="0.2">
      <c r="A22" s="193" t="s">
        <v>377</v>
      </c>
      <c r="B22" s="318">
        <v>701500</v>
      </c>
      <c r="C22" s="194" t="s">
        <v>376</v>
      </c>
      <c r="D22" s="195"/>
      <c r="E22" s="196">
        <v>370</v>
      </c>
      <c r="F22" s="196">
        <v>400</v>
      </c>
      <c r="G22" s="196">
        <v>475</v>
      </c>
      <c r="H22" s="317"/>
      <c r="I22" s="314"/>
      <c r="J22" s="197">
        <f t="shared" ref="J22:J27" si="7">I22-H22</f>
        <v>0</v>
      </c>
      <c r="K22" s="198" t="e">
        <f t="shared" ref="K22:K27" si="8">(I22-H22)/H22</f>
        <v>#DIV/0!</v>
      </c>
      <c r="L22" s="196"/>
      <c r="M22" s="196"/>
      <c r="N22" s="196"/>
      <c r="O22" s="196"/>
      <c r="P22" s="199"/>
    </row>
    <row r="23" spans="1:19" ht="31.5" customHeight="1" x14ac:dyDescent="0.2">
      <c r="A23" s="193" t="s">
        <v>375</v>
      </c>
      <c r="B23" s="318">
        <v>701501</v>
      </c>
      <c r="C23" s="194" t="s">
        <v>374</v>
      </c>
      <c r="D23" s="195"/>
      <c r="E23" s="196">
        <v>90</v>
      </c>
      <c r="F23" s="196">
        <v>90</v>
      </c>
      <c r="G23" s="196">
        <v>90</v>
      </c>
      <c r="H23" s="317"/>
      <c r="I23" s="314"/>
      <c r="J23" s="197">
        <f t="shared" si="7"/>
        <v>0</v>
      </c>
      <c r="K23" s="198" t="e">
        <f t="shared" si="8"/>
        <v>#DIV/0!</v>
      </c>
      <c r="L23" s="196"/>
      <c r="M23" s="196"/>
      <c r="N23" s="196"/>
      <c r="O23" s="196"/>
      <c r="P23" s="199"/>
    </row>
    <row r="24" spans="1:19" ht="31.5" customHeight="1" x14ac:dyDescent="0.2">
      <c r="A24" s="193" t="s">
        <v>363</v>
      </c>
      <c r="B24" s="318">
        <v>701603</v>
      </c>
      <c r="C24" s="194" t="s">
        <v>362</v>
      </c>
      <c r="D24" s="195"/>
      <c r="E24" s="196">
        <v>225</v>
      </c>
      <c r="F24" s="196">
        <v>250</v>
      </c>
      <c r="G24" s="196">
        <v>373.5</v>
      </c>
      <c r="H24" s="317"/>
      <c r="I24" s="314"/>
      <c r="J24" s="197">
        <f t="shared" si="7"/>
        <v>0</v>
      </c>
      <c r="K24" s="198" t="e">
        <f t="shared" si="8"/>
        <v>#DIV/0!</v>
      </c>
      <c r="L24" s="196"/>
      <c r="M24" s="196"/>
      <c r="N24" s="196"/>
      <c r="O24" s="196"/>
      <c r="P24" s="199"/>
    </row>
    <row r="25" spans="1:19" ht="31.5" customHeight="1" x14ac:dyDescent="0.2">
      <c r="A25" s="193" t="s">
        <v>361</v>
      </c>
      <c r="B25" s="318">
        <v>705001</v>
      </c>
      <c r="C25" s="194" t="s">
        <v>360</v>
      </c>
      <c r="D25" s="195"/>
      <c r="E25" s="196">
        <v>5224.53</v>
      </c>
      <c r="F25" s="196">
        <v>2819</v>
      </c>
      <c r="G25" s="196">
        <v>4779</v>
      </c>
      <c r="H25" s="317"/>
      <c r="I25" s="314"/>
      <c r="J25" s="197">
        <f t="shared" si="7"/>
        <v>0</v>
      </c>
      <c r="K25" s="198" t="e">
        <f t="shared" si="8"/>
        <v>#DIV/0!</v>
      </c>
      <c r="L25" s="196"/>
      <c r="M25" s="196"/>
      <c r="N25" s="196"/>
      <c r="O25" s="196"/>
      <c r="P25" s="199"/>
    </row>
    <row r="26" spans="1:19" ht="31.5" customHeight="1" x14ac:dyDescent="0.2">
      <c r="A26" s="193" t="s">
        <v>359</v>
      </c>
      <c r="B26" s="318">
        <v>705101</v>
      </c>
      <c r="C26" s="194" t="s">
        <v>358</v>
      </c>
      <c r="D26" s="195"/>
      <c r="E26" s="196">
        <v>9998.69</v>
      </c>
      <c r="F26" s="196">
        <v>14664.23</v>
      </c>
      <c r="G26" s="196">
        <v>27366.09</v>
      </c>
      <c r="H26" s="317"/>
      <c r="I26" s="314"/>
      <c r="J26" s="197">
        <f t="shared" si="7"/>
        <v>0</v>
      </c>
      <c r="K26" s="198" t="e">
        <f t="shared" si="8"/>
        <v>#DIV/0!</v>
      </c>
      <c r="L26" s="196"/>
      <c r="M26" s="196"/>
      <c r="N26" s="196"/>
      <c r="O26" s="196"/>
      <c r="P26" s="199"/>
    </row>
    <row r="27" spans="1:19" ht="31.5" customHeight="1" x14ac:dyDescent="0.2">
      <c r="A27" s="193" t="s">
        <v>357</v>
      </c>
      <c r="B27" s="318">
        <v>705002</v>
      </c>
      <c r="C27" s="194" t="s">
        <v>356</v>
      </c>
      <c r="D27" s="195"/>
      <c r="E27" s="196">
        <v>102</v>
      </c>
      <c r="F27" s="196"/>
      <c r="G27" s="196"/>
      <c r="H27" s="317"/>
      <c r="I27" s="314"/>
      <c r="J27" s="197">
        <f t="shared" si="7"/>
        <v>0</v>
      </c>
      <c r="K27" s="198" t="e">
        <f t="shared" si="8"/>
        <v>#DIV/0!</v>
      </c>
      <c r="L27" s="196"/>
      <c r="M27" s="196"/>
      <c r="N27" s="196"/>
      <c r="O27" s="196"/>
      <c r="P27" s="199"/>
    </row>
    <row r="28" spans="1:19" ht="31.5" customHeight="1" x14ac:dyDescent="0.2">
      <c r="A28" s="193" t="s">
        <v>355</v>
      </c>
      <c r="B28" s="318">
        <v>705102</v>
      </c>
      <c r="C28" s="194" t="s">
        <v>354</v>
      </c>
      <c r="D28" s="195"/>
      <c r="E28" s="196"/>
      <c r="F28" s="196">
        <v>838.55000000000007</v>
      </c>
      <c r="G28" s="196"/>
      <c r="H28" s="317"/>
      <c r="I28" s="314"/>
      <c r="J28" s="197">
        <f t="shared" si="5"/>
        <v>0</v>
      </c>
      <c r="K28" s="198" t="e">
        <f t="shared" si="6"/>
        <v>#DIV/0!</v>
      </c>
      <c r="L28" s="196"/>
      <c r="M28" s="196"/>
      <c r="N28" s="196"/>
      <c r="O28" s="196"/>
      <c r="P28" s="199"/>
    </row>
    <row r="29" spans="1:19" ht="31.5" customHeight="1" x14ac:dyDescent="0.2">
      <c r="A29" s="193" t="s">
        <v>349</v>
      </c>
      <c r="B29" s="318">
        <v>705100</v>
      </c>
      <c r="C29" s="194" t="s">
        <v>348</v>
      </c>
      <c r="D29" s="195"/>
      <c r="E29" s="196"/>
      <c r="F29" s="196">
        <v>8.15</v>
      </c>
      <c r="G29" s="196">
        <v>0</v>
      </c>
      <c r="H29" s="317"/>
      <c r="I29" s="314"/>
      <c r="J29" s="197">
        <f t="shared" si="5"/>
        <v>0</v>
      </c>
      <c r="K29" s="198" t="e">
        <f t="shared" si="6"/>
        <v>#DIV/0!</v>
      </c>
      <c r="L29" s="196"/>
      <c r="M29" s="196"/>
      <c r="N29" s="196"/>
      <c r="O29" s="196"/>
      <c r="P29" s="199"/>
    </row>
    <row r="30" spans="1:19" ht="31.5" customHeight="1" x14ac:dyDescent="0.2">
      <c r="A30" s="193" t="s">
        <v>276</v>
      </c>
      <c r="B30" s="319">
        <v>706605</v>
      </c>
      <c r="C30" s="194" t="s">
        <v>275</v>
      </c>
      <c r="D30" s="195"/>
      <c r="E30" s="196">
        <v>649.12</v>
      </c>
      <c r="F30" s="196">
        <v>650.88</v>
      </c>
      <c r="G30" s="196">
        <v>54.17</v>
      </c>
      <c r="H30" s="317"/>
      <c r="I30" s="314"/>
      <c r="J30" s="197">
        <f t="shared" si="5"/>
        <v>0</v>
      </c>
      <c r="K30" s="198" t="e">
        <f t="shared" si="6"/>
        <v>#DIV/0!</v>
      </c>
      <c r="L30" s="196"/>
      <c r="M30" s="196"/>
      <c r="N30" s="196"/>
      <c r="O30" s="196"/>
      <c r="P30" s="199"/>
    </row>
    <row r="31" spans="1:19" ht="31.5" customHeight="1" x14ac:dyDescent="0.2">
      <c r="A31" s="193" t="s">
        <v>258</v>
      </c>
      <c r="B31" s="318">
        <v>707101</v>
      </c>
      <c r="C31" s="194" t="s">
        <v>257</v>
      </c>
      <c r="D31" s="195"/>
      <c r="E31" s="196"/>
      <c r="F31" s="196"/>
      <c r="G31" s="196">
        <v>595.83000000000004</v>
      </c>
      <c r="H31" s="317"/>
      <c r="I31" s="314"/>
      <c r="J31" s="197">
        <f t="shared" ref="J31:J33" si="9">I31-H31</f>
        <v>0</v>
      </c>
      <c r="K31" s="198" t="e">
        <f t="shared" ref="K31:K33" si="10">(I31-H31)/H31</f>
        <v>#DIV/0!</v>
      </c>
      <c r="L31" s="196"/>
      <c r="M31" s="196"/>
      <c r="N31" s="196"/>
      <c r="O31" s="196"/>
      <c r="P31" s="199"/>
    </row>
    <row r="32" spans="1:19" ht="31.5" customHeight="1" x14ac:dyDescent="0.2">
      <c r="A32" s="193" t="s">
        <v>230</v>
      </c>
      <c r="B32" s="318">
        <v>707151</v>
      </c>
      <c r="C32" s="194" t="s">
        <v>15</v>
      </c>
      <c r="D32" s="195"/>
      <c r="E32" s="196">
        <v>84.84</v>
      </c>
      <c r="F32" s="196">
        <v>88.710000000000008</v>
      </c>
      <c r="G32" s="196">
        <v>90</v>
      </c>
      <c r="H32" s="317"/>
      <c r="I32" s="314"/>
      <c r="J32" s="197">
        <f t="shared" si="9"/>
        <v>0</v>
      </c>
      <c r="K32" s="198" t="e">
        <f t="shared" si="10"/>
        <v>#DIV/0!</v>
      </c>
      <c r="L32" s="196"/>
      <c r="M32" s="196"/>
      <c r="N32" s="196"/>
      <c r="O32" s="196"/>
      <c r="P32" s="199"/>
    </row>
    <row r="33" spans="1:16" ht="31.5" customHeight="1" x14ac:dyDescent="0.2">
      <c r="A33" s="193" t="s">
        <v>229</v>
      </c>
      <c r="B33" s="318">
        <v>707151</v>
      </c>
      <c r="C33" s="194" t="s">
        <v>16</v>
      </c>
      <c r="D33" s="195"/>
      <c r="E33" s="196">
        <v>2.74</v>
      </c>
      <c r="F33" s="196">
        <v>7.0000000000000007E-2</v>
      </c>
      <c r="G33" s="196">
        <v>1.3900000000000001</v>
      </c>
      <c r="H33" s="317"/>
      <c r="I33" s="314"/>
      <c r="J33" s="197">
        <f t="shared" si="9"/>
        <v>0</v>
      </c>
      <c r="K33" s="198" t="e">
        <f t="shared" si="10"/>
        <v>#DIV/0!</v>
      </c>
      <c r="L33" s="196"/>
      <c r="M33" s="196"/>
      <c r="N33" s="196"/>
      <c r="O33" s="196"/>
      <c r="P33" s="199"/>
    </row>
    <row r="34" spans="1:16" ht="31.5" customHeight="1" x14ac:dyDescent="0.2">
      <c r="A34" s="193" t="s">
        <v>217</v>
      </c>
      <c r="B34" s="318">
        <v>707306</v>
      </c>
      <c r="C34" s="194" t="s">
        <v>216</v>
      </c>
      <c r="D34" s="195"/>
      <c r="E34" s="196">
        <v>3142.9</v>
      </c>
      <c r="F34" s="196"/>
      <c r="G34" s="196"/>
      <c r="H34" s="317"/>
      <c r="I34" s="314"/>
      <c r="J34" s="197">
        <f t="shared" si="5"/>
        <v>0</v>
      </c>
      <c r="K34" s="198" t="e">
        <f t="shared" si="6"/>
        <v>#DIV/0!</v>
      </c>
      <c r="L34" s="196"/>
      <c r="M34" s="196"/>
      <c r="N34" s="196"/>
      <c r="O34" s="196"/>
      <c r="P34" s="199"/>
    </row>
    <row r="35" spans="1:16" ht="31.5" customHeight="1" x14ac:dyDescent="0.2">
      <c r="A35" s="193" t="s">
        <v>203</v>
      </c>
      <c r="B35" s="318">
        <v>707301</v>
      </c>
      <c r="C35" s="194" t="s">
        <v>18</v>
      </c>
      <c r="D35" s="195"/>
      <c r="E35" s="196">
        <v>760</v>
      </c>
      <c r="F35" s="196"/>
      <c r="G35" s="196">
        <v>108</v>
      </c>
      <c r="H35" s="317"/>
      <c r="I35" s="314"/>
      <c r="J35" s="197">
        <f t="shared" si="5"/>
        <v>0</v>
      </c>
      <c r="K35" s="198" t="e">
        <f t="shared" si="6"/>
        <v>#DIV/0!</v>
      </c>
      <c r="L35" s="196"/>
      <c r="M35" s="196"/>
      <c r="N35" s="196"/>
      <c r="O35" s="196"/>
      <c r="P35" s="199"/>
    </row>
    <row r="36" spans="1:16" ht="31.5" customHeight="1" x14ac:dyDescent="0.2">
      <c r="A36" s="193"/>
      <c r="B36" s="193"/>
      <c r="C36" s="194"/>
      <c r="D36" s="195"/>
      <c r="E36" s="196"/>
      <c r="F36" s="196"/>
      <c r="G36" s="196"/>
      <c r="H36" s="317"/>
      <c r="I36" s="314"/>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317"/>
      <c r="I37" s="314"/>
      <c r="J37" s="197">
        <f t="shared" si="5"/>
        <v>0</v>
      </c>
      <c r="K37" s="198" t="e">
        <f t="shared" si="6"/>
        <v>#DIV/0!</v>
      </c>
      <c r="L37" s="196"/>
      <c r="M37" s="196"/>
      <c r="N37" s="196"/>
      <c r="O37" s="196"/>
      <c r="P37" s="199"/>
    </row>
    <row r="38" spans="1:16" ht="13.5" thickBot="1" x14ac:dyDescent="0.25">
      <c r="A38" s="200"/>
      <c r="B38" s="200"/>
      <c r="C38" s="177" t="s">
        <v>22</v>
      </c>
      <c r="D38" s="201"/>
      <c r="E38" s="180">
        <f>SUM(E21:E37)</f>
        <v>21788.77</v>
      </c>
      <c r="F38" s="180">
        <f>SUM(F21:F37)</f>
        <v>23113.95</v>
      </c>
      <c r="G38" s="180">
        <f>SUM(G21:G37)</f>
        <v>37601.47</v>
      </c>
      <c r="H38" s="180">
        <f>SUM(H21:H37)</f>
        <v>0</v>
      </c>
      <c r="I38" s="180">
        <f>SUM(I21:I37)</f>
        <v>0</v>
      </c>
      <c r="J38" s="180">
        <f t="shared" si="5"/>
        <v>0</v>
      </c>
      <c r="K38" s="181" t="e">
        <f t="shared" si="6"/>
        <v>#DIV/0!</v>
      </c>
      <c r="L38" s="180">
        <f>SUM(L21:L37)</f>
        <v>0</v>
      </c>
      <c r="M38" s="180">
        <f>SUM(M21:M37)</f>
        <v>0</v>
      </c>
      <c r="N38" s="180">
        <f>SUM(N21:N37)</f>
        <v>0</v>
      </c>
      <c r="O38" s="180">
        <f>SUM(O21:O37)</f>
        <v>0</v>
      </c>
      <c r="P38" s="202"/>
    </row>
    <row r="39" spans="1:16" ht="13.5" thickBot="1" x14ac:dyDescent="0.25">
      <c r="A39" s="203"/>
      <c r="B39" s="203"/>
      <c r="C39" s="204" t="s">
        <v>702</v>
      </c>
      <c r="D39" s="205"/>
      <c r="E39" s="206">
        <f>E18+E38</f>
        <v>21788.77</v>
      </c>
      <c r="F39" s="206">
        <f>F18+F38</f>
        <v>23113.95</v>
      </c>
      <c r="G39" s="206">
        <f>G18+G38</f>
        <v>37601.47</v>
      </c>
      <c r="H39" s="206">
        <f>H18+H38</f>
        <v>0</v>
      </c>
      <c r="I39" s="206">
        <f>I18+I38</f>
        <v>0</v>
      </c>
      <c r="J39" s="206">
        <f>I39-H39</f>
        <v>0</v>
      </c>
      <c r="K39" s="207" t="e">
        <f>(I39-H39)/H39</f>
        <v>#DIV/0!</v>
      </c>
      <c r="L39" s="206">
        <f>L18+L38</f>
        <v>0</v>
      </c>
      <c r="M39" s="206">
        <f>M18+M38</f>
        <v>0</v>
      </c>
      <c r="N39" s="206">
        <f>N18+N38</f>
        <v>0</v>
      </c>
      <c r="O39" s="206">
        <f>O18+O38</f>
        <v>0</v>
      </c>
      <c r="P39" s="208"/>
    </row>
    <row r="40" spans="1:16" x14ac:dyDescent="0.2">
      <c r="A40" s="203"/>
      <c r="B40" s="203"/>
      <c r="C40" s="209" t="s">
        <v>698</v>
      </c>
      <c r="D40" s="210"/>
      <c r="E40" s="211"/>
      <c r="F40" s="211"/>
      <c r="G40" s="211"/>
      <c r="H40" s="212">
        <v>0</v>
      </c>
      <c r="I40" s="213"/>
      <c r="J40" s="213"/>
      <c r="K40" s="214"/>
      <c r="L40" s="213"/>
      <c r="M40" s="213"/>
      <c r="N40" s="213"/>
      <c r="O40" s="213"/>
      <c r="P40" s="215"/>
    </row>
    <row r="41" spans="1:16" x14ac:dyDescent="0.2">
      <c r="A41" s="203"/>
      <c r="B41" s="203"/>
      <c r="C41" s="183" t="s">
        <v>699</v>
      </c>
      <c r="D41" s="184"/>
      <c r="E41" s="216"/>
      <c r="F41" s="216"/>
      <c r="G41" s="216"/>
      <c r="H41" s="185">
        <v>0</v>
      </c>
      <c r="I41" s="217"/>
      <c r="J41" s="217"/>
      <c r="K41" s="218"/>
      <c r="L41" s="217"/>
      <c r="M41" s="217"/>
      <c r="N41" s="217"/>
      <c r="O41" s="217"/>
      <c r="P41" s="219"/>
    </row>
    <row r="42" spans="1:16" x14ac:dyDescent="0.2">
      <c r="A42" s="203"/>
      <c r="B42" s="203"/>
      <c r="C42" s="183" t="s">
        <v>700</v>
      </c>
      <c r="D42" s="184"/>
      <c r="E42" s="216"/>
      <c r="F42" s="216"/>
      <c r="G42" s="216"/>
      <c r="H42" s="220">
        <f>H40-H10</f>
        <v>0</v>
      </c>
      <c r="I42" s="217"/>
      <c r="J42" s="217"/>
      <c r="K42" s="218"/>
      <c r="L42" s="217"/>
      <c r="M42" s="217"/>
      <c r="N42" s="217"/>
      <c r="O42" s="217"/>
      <c r="P42" s="219"/>
    </row>
    <row r="43" spans="1:16" x14ac:dyDescent="0.2">
      <c r="A43" s="221"/>
      <c r="B43" s="221"/>
      <c r="C43" s="183" t="s">
        <v>701</v>
      </c>
      <c r="D43" s="184"/>
      <c r="E43" s="217"/>
      <c r="F43" s="217"/>
      <c r="G43" s="217"/>
      <c r="H43" s="220">
        <f>H41-H39</f>
        <v>0</v>
      </c>
      <c r="I43" s="217"/>
      <c r="J43" s="217"/>
      <c r="K43" s="218"/>
      <c r="L43" s="217"/>
      <c r="M43" s="217"/>
      <c r="N43" s="217"/>
      <c r="O43" s="217"/>
      <c r="P43" s="219"/>
    </row>
    <row r="45" spans="1:16" s="157" customFormat="1" ht="27" customHeight="1" thickBot="1" x14ac:dyDescent="0.25">
      <c r="A45" s="158" t="s">
        <v>687</v>
      </c>
      <c r="B45" s="158" t="s">
        <v>687</v>
      </c>
      <c r="M45" s="406" t="s">
        <v>690</v>
      </c>
      <c r="N45" s="406"/>
      <c r="O45" s="406"/>
    </row>
    <row r="46" spans="1:16" s="157" customFormat="1" ht="51.75" thickBot="1" x14ac:dyDescent="0.25">
      <c r="A46" s="225"/>
      <c r="B46" s="225"/>
      <c r="C46" s="229" t="s">
        <v>633</v>
      </c>
      <c r="D46" s="249"/>
      <c r="E46" s="234" t="s">
        <v>749</v>
      </c>
      <c r="F46" s="234" t="s">
        <v>750</v>
      </c>
      <c r="G46" s="234" t="s">
        <v>751</v>
      </c>
      <c r="H46" s="294" t="s">
        <v>747</v>
      </c>
      <c r="I46" s="234" t="s">
        <v>748</v>
      </c>
      <c r="J46" s="234" t="s">
        <v>745</v>
      </c>
      <c r="K46" s="295" t="s">
        <v>641</v>
      </c>
      <c r="M46" s="145"/>
      <c r="N46" s="145" t="s">
        <v>693</v>
      </c>
      <c r="O46" s="145" t="s">
        <v>694</v>
      </c>
    </row>
    <row r="47" spans="1:16" s="157" customFormat="1" x14ac:dyDescent="0.2">
      <c r="A47" s="225"/>
      <c r="B47" s="225"/>
      <c r="C47" s="194" t="s">
        <v>688</v>
      </c>
      <c r="D47" s="195"/>
      <c r="E47" s="226"/>
      <c r="F47" s="226"/>
      <c r="G47" s="226"/>
      <c r="H47" s="226"/>
      <c r="I47" s="226"/>
      <c r="J47" s="227">
        <f>I47-H47</f>
        <v>0</v>
      </c>
      <c r="K47" s="228" t="e">
        <f>(I47-H47)/H47</f>
        <v>#DIV/0!</v>
      </c>
      <c r="M47" s="146" t="s">
        <v>691</v>
      </c>
      <c r="N47" s="146"/>
      <c r="O47" s="146"/>
    </row>
    <row r="48" spans="1:16" s="157" customFormat="1" x14ac:dyDescent="0.2">
      <c r="M48" s="146" t="s">
        <v>692</v>
      </c>
      <c r="N48" s="146"/>
      <c r="O48" s="146"/>
    </row>
    <row r="49" spans="13:15" s="157" customFormat="1" x14ac:dyDescent="0.2">
      <c r="M49" s="146" t="s">
        <v>23</v>
      </c>
      <c r="N49" s="146">
        <f>SUM(N47:N48)</f>
        <v>0</v>
      </c>
      <c r="O49" s="146">
        <f>SUM(O47:O48)</f>
        <v>0</v>
      </c>
    </row>
    <row r="50" spans="13:15" s="157" customFormat="1" x14ac:dyDescent="0.2"/>
    <row r="51" spans="13:15" s="157" customFormat="1" x14ac:dyDescent="0.2"/>
    <row r="52" spans="13:15" s="157" customFormat="1" x14ac:dyDescent="0.2"/>
  </sheetData>
  <mergeCells count="2">
    <mergeCell ref="L3:N3"/>
    <mergeCell ref="M45:O45"/>
  </mergeCells>
  <pageMargins left="0.25" right="0.25" top="0.42708333300000001" bottom="0.35416666666666702" header="0.3" footer="0.3"/>
  <pageSetup paperSize="17" scale="65" orientation="landscape" r:id="rId1"/>
  <headerFooter>
    <oddHeader>&amp;C&amp;"Calibri,Bold"&amp;A</oddHeader>
    <oddFooter>&amp;Rprinted:  &amp;D&amp;T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4"/>
  <sheetViews>
    <sheetView showGridLines="0" topLeftCell="A28"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854</v>
      </c>
      <c r="O1" s="164"/>
    </row>
    <row r="2" spans="1:19" ht="23.25" customHeight="1" thickBot="1" x14ac:dyDescent="0.3">
      <c r="A2" s="290" t="s">
        <v>810</v>
      </c>
      <c r="B2" s="232"/>
      <c r="C2" s="292" t="s">
        <v>855</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151420.94</f>
        <v>151420.94</v>
      </c>
      <c r="F6" s="171">
        <f>152033.02</f>
        <v>152033.01999999999</v>
      </c>
      <c r="G6" s="171">
        <f>149702.92</f>
        <v>149702.92000000001</v>
      </c>
      <c r="H6" s="171">
        <f>SUM('FT Salaries'!E74)</f>
        <v>162457</v>
      </c>
      <c r="I6" s="172">
        <f>SUM(H6)</f>
        <v>162457</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151420.94</v>
      </c>
      <c r="F8" s="179">
        <f>SUM(F6:F7)</f>
        <v>152033.01999999999</v>
      </c>
      <c r="G8" s="179">
        <f>SUM(G6:G7)</f>
        <v>149702.92000000001</v>
      </c>
      <c r="H8" s="179">
        <f>SUM(H6:H7)</f>
        <v>162457</v>
      </c>
      <c r="I8" s="179">
        <f>SUM(I6:I7)</f>
        <v>162457</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11806.2</v>
      </c>
      <c r="F12" s="171">
        <v>9838.5</v>
      </c>
      <c r="G12" s="171">
        <v>12930.6</v>
      </c>
      <c r="H12" s="171">
        <v>11244</v>
      </c>
      <c r="I12" s="172">
        <v>11244</v>
      </c>
      <c r="J12" s="173">
        <f t="shared" si="1"/>
        <v>0</v>
      </c>
      <c r="K12" s="174">
        <f t="shared" ref="K12:K18" si="2">(I12-H12)/H12</f>
        <v>0</v>
      </c>
      <c r="L12" s="172"/>
      <c r="M12" s="175"/>
      <c r="N12" s="175"/>
      <c r="O12" s="175"/>
      <c r="P12" s="147"/>
      <c r="Q12" s="157"/>
      <c r="R12" s="157"/>
      <c r="S12" s="157"/>
    </row>
    <row r="13" spans="1:19" x14ac:dyDescent="0.2">
      <c r="A13" s="169" t="s">
        <v>591</v>
      </c>
      <c r="B13" s="318">
        <v>601307</v>
      </c>
      <c r="C13" s="146" t="s">
        <v>590</v>
      </c>
      <c r="D13" s="170"/>
      <c r="E13" s="171">
        <v>5005.28</v>
      </c>
      <c r="F13" s="171">
        <v>5198.8</v>
      </c>
      <c r="G13" s="171"/>
      <c r="H13" s="171">
        <v>1999</v>
      </c>
      <c r="I13" s="172">
        <v>1999</v>
      </c>
      <c r="J13" s="173">
        <f t="shared" si="1"/>
        <v>0</v>
      </c>
      <c r="K13" s="174">
        <f t="shared" si="2"/>
        <v>0</v>
      </c>
      <c r="L13" s="335"/>
      <c r="M13" s="175"/>
      <c r="N13" s="175"/>
      <c r="O13" s="175"/>
      <c r="P13" s="339"/>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16811.48</v>
      </c>
      <c r="F18" s="185">
        <f t="shared" ref="F18:I18" si="3">SUM(F12:F17)</f>
        <v>15037.3</v>
      </c>
      <c r="G18" s="185">
        <f t="shared" si="3"/>
        <v>12930.6</v>
      </c>
      <c r="H18" s="185">
        <f t="shared" si="3"/>
        <v>13243</v>
      </c>
      <c r="I18" s="185">
        <f t="shared" si="3"/>
        <v>13243</v>
      </c>
      <c r="J18" s="185">
        <f t="shared" si="1"/>
        <v>0</v>
      </c>
      <c r="K18" s="186">
        <f t="shared" si="2"/>
        <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7626.1500000000005</v>
      </c>
      <c r="F21" s="196">
        <v>6165</v>
      </c>
      <c r="G21" s="196">
        <v>5887.5</v>
      </c>
      <c r="H21" s="196">
        <v>5260</v>
      </c>
      <c r="I21" s="196">
        <v>7800</v>
      </c>
      <c r="J21" s="197">
        <f t="shared" ref="J21:J40" si="5">I21-H21</f>
        <v>2540</v>
      </c>
      <c r="K21" s="198">
        <f t="shared" ref="K21:K40" si="6">(I21-H21)/H21</f>
        <v>0.4828897338403042</v>
      </c>
      <c r="L21" s="196"/>
      <c r="M21" s="196"/>
      <c r="N21" s="196"/>
      <c r="O21" s="196"/>
      <c r="P21" s="199" t="s">
        <v>1038</v>
      </c>
    </row>
    <row r="22" spans="1:19" ht="31.5" customHeight="1" x14ac:dyDescent="0.2">
      <c r="A22" s="193" t="s">
        <v>416</v>
      </c>
      <c r="B22" s="318">
        <v>702200</v>
      </c>
      <c r="C22" s="194" t="s">
        <v>11</v>
      </c>
      <c r="D22" s="195"/>
      <c r="E22" s="196">
        <v>13740</v>
      </c>
      <c r="F22" s="196">
        <v>12000.12</v>
      </c>
      <c r="G22" s="196">
        <v>10161.82</v>
      </c>
      <c r="H22" s="196">
        <v>11438.02</v>
      </c>
      <c r="I22" s="196">
        <v>17671</v>
      </c>
      <c r="J22" s="197">
        <f t="shared" si="5"/>
        <v>6232.98</v>
      </c>
      <c r="K22" s="198">
        <f t="shared" si="6"/>
        <v>0.54493522480289414</v>
      </c>
      <c r="L22" s="196"/>
      <c r="M22" s="196"/>
      <c r="N22" s="196"/>
      <c r="O22" s="196">
        <v>1714</v>
      </c>
      <c r="P22" s="199" t="s">
        <v>1042</v>
      </c>
    </row>
    <row r="23" spans="1:19" ht="31.5" customHeight="1" x14ac:dyDescent="0.2">
      <c r="A23" s="193" t="s">
        <v>387</v>
      </c>
      <c r="B23" s="318">
        <v>701406</v>
      </c>
      <c r="C23" s="194" t="s">
        <v>386</v>
      </c>
      <c r="D23" s="195"/>
      <c r="E23" s="196">
        <v>5263.75</v>
      </c>
      <c r="F23" s="196">
        <v>6310</v>
      </c>
      <c r="G23" s="196">
        <v>6602</v>
      </c>
      <c r="H23" s="196">
        <v>3226</v>
      </c>
      <c r="I23" s="317">
        <v>10800</v>
      </c>
      <c r="J23" s="197">
        <f t="shared" ref="J23:J25" si="7">I23-H23</f>
        <v>7574</v>
      </c>
      <c r="K23" s="198">
        <f t="shared" ref="K23:K25" si="8">(I23-H23)/H23</f>
        <v>2.347799132052077</v>
      </c>
      <c r="L23" s="196"/>
      <c r="M23" s="196"/>
      <c r="N23" s="196"/>
      <c r="O23" s="196"/>
      <c r="P23" s="340" t="s">
        <v>1039</v>
      </c>
    </row>
    <row r="24" spans="1:19" ht="31.5" customHeight="1" x14ac:dyDescent="0.2">
      <c r="A24" s="193" t="s">
        <v>377</v>
      </c>
      <c r="B24" s="318">
        <v>701500</v>
      </c>
      <c r="C24" s="194" t="s">
        <v>376</v>
      </c>
      <c r="D24" s="195"/>
      <c r="E24" s="196">
        <v>425</v>
      </c>
      <c r="F24" s="196">
        <v>510</v>
      </c>
      <c r="G24" s="196">
        <v>390</v>
      </c>
      <c r="H24" s="196">
        <v>390</v>
      </c>
      <c r="I24" s="196">
        <v>390</v>
      </c>
      <c r="J24" s="197">
        <f t="shared" si="7"/>
        <v>0</v>
      </c>
      <c r="K24" s="198">
        <f t="shared" si="8"/>
        <v>0</v>
      </c>
      <c r="L24" s="196"/>
      <c r="M24" s="196"/>
      <c r="N24" s="196"/>
      <c r="O24" s="196"/>
      <c r="P24" s="199"/>
    </row>
    <row r="25" spans="1:19" ht="31.5" customHeight="1" x14ac:dyDescent="0.2">
      <c r="A25" s="193" t="s">
        <v>363</v>
      </c>
      <c r="B25" s="318">
        <v>701603</v>
      </c>
      <c r="C25" s="194" t="s">
        <v>362</v>
      </c>
      <c r="D25" s="195"/>
      <c r="E25" s="196">
        <v>350</v>
      </c>
      <c r="F25" s="196">
        <v>360</v>
      </c>
      <c r="G25" s="196"/>
      <c r="H25" s="196">
        <v>650</v>
      </c>
      <c r="I25" s="196">
        <v>650</v>
      </c>
      <c r="J25" s="197">
        <f t="shared" si="7"/>
        <v>0</v>
      </c>
      <c r="K25" s="198">
        <f t="shared" si="8"/>
        <v>0</v>
      </c>
      <c r="L25" s="196"/>
      <c r="M25" s="196"/>
      <c r="N25" s="196"/>
      <c r="O25" s="196"/>
      <c r="P25" s="199"/>
    </row>
    <row r="26" spans="1:19" ht="31.5" customHeight="1" x14ac:dyDescent="0.2">
      <c r="A26" s="193" t="s">
        <v>361</v>
      </c>
      <c r="B26" s="318">
        <v>705001</v>
      </c>
      <c r="C26" s="194" t="s">
        <v>360</v>
      </c>
      <c r="D26" s="195"/>
      <c r="E26" s="196">
        <v>499.84000000000003</v>
      </c>
      <c r="F26" s="196">
        <v>400</v>
      </c>
      <c r="G26" s="196">
        <v>408</v>
      </c>
      <c r="H26" s="196">
        <v>538</v>
      </c>
      <c r="I26" s="196">
        <v>538</v>
      </c>
      <c r="J26" s="197">
        <f t="shared" si="5"/>
        <v>0</v>
      </c>
      <c r="K26" s="198">
        <f t="shared" si="6"/>
        <v>0</v>
      </c>
      <c r="L26" s="196"/>
      <c r="M26" s="196"/>
      <c r="N26" s="196"/>
      <c r="O26" s="196"/>
      <c r="P26" s="199"/>
    </row>
    <row r="27" spans="1:19" ht="31.5" customHeight="1" x14ac:dyDescent="0.2">
      <c r="A27" s="193" t="s">
        <v>359</v>
      </c>
      <c r="B27" s="318">
        <v>705101</v>
      </c>
      <c r="C27" s="194" t="s">
        <v>358</v>
      </c>
      <c r="D27" s="195"/>
      <c r="E27" s="196">
        <v>21949.100000000002</v>
      </c>
      <c r="F27" s="196">
        <v>23280.54</v>
      </c>
      <c r="G27" s="196">
        <v>27514.43</v>
      </c>
      <c r="H27" s="196">
        <v>25084</v>
      </c>
      <c r="I27" s="317">
        <v>15300</v>
      </c>
      <c r="J27" s="197">
        <f t="shared" si="5"/>
        <v>-9784</v>
      </c>
      <c r="K27" s="198">
        <f t="shared" si="6"/>
        <v>-0.39004943390208896</v>
      </c>
      <c r="L27" s="196"/>
      <c r="M27" s="196"/>
      <c r="N27" s="196"/>
      <c r="O27" s="196"/>
      <c r="P27" s="340" t="s">
        <v>1040</v>
      </c>
    </row>
    <row r="28" spans="1:19" ht="38.25" x14ac:dyDescent="0.2">
      <c r="A28" s="193" t="s">
        <v>357</v>
      </c>
      <c r="B28" s="318">
        <v>705002</v>
      </c>
      <c r="C28" s="194" t="s">
        <v>356</v>
      </c>
      <c r="D28" s="195"/>
      <c r="E28" s="196">
        <v>536.02</v>
      </c>
      <c r="F28" s="196">
        <v>384.57</v>
      </c>
      <c r="G28" s="196">
        <v>94.62</v>
      </c>
      <c r="H28" s="317">
        <v>500</v>
      </c>
      <c r="I28" s="196"/>
      <c r="J28" s="197">
        <f t="shared" si="5"/>
        <v>-500</v>
      </c>
      <c r="K28" s="198">
        <f t="shared" si="6"/>
        <v>-1</v>
      </c>
      <c r="L28" s="196">
        <v>1000</v>
      </c>
      <c r="M28" s="196"/>
      <c r="N28" s="196"/>
      <c r="O28" s="196"/>
      <c r="P28" s="199" t="s">
        <v>1007</v>
      </c>
    </row>
    <row r="29" spans="1:19" ht="38.25" x14ac:dyDescent="0.2">
      <c r="A29" s="193" t="s">
        <v>355</v>
      </c>
      <c r="B29" s="318">
        <v>705102</v>
      </c>
      <c r="C29" s="194" t="s">
        <v>354</v>
      </c>
      <c r="D29" s="195"/>
      <c r="E29" s="196">
        <v>475.23</v>
      </c>
      <c r="F29" s="196">
        <v>1801.54</v>
      </c>
      <c r="G29" s="196"/>
      <c r="H29" s="317">
        <v>3746</v>
      </c>
      <c r="I29" s="196"/>
      <c r="J29" s="197">
        <f t="shared" si="5"/>
        <v>-3746</v>
      </c>
      <c r="K29" s="198">
        <f t="shared" si="6"/>
        <v>-1</v>
      </c>
      <c r="L29" s="196">
        <v>3000</v>
      </c>
      <c r="M29" s="196"/>
      <c r="N29" s="196"/>
      <c r="O29" s="196"/>
      <c r="P29" s="199" t="s">
        <v>1007</v>
      </c>
    </row>
    <row r="30" spans="1:19" ht="31.5" customHeight="1" x14ac:dyDescent="0.2">
      <c r="A30" s="193" t="s">
        <v>349</v>
      </c>
      <c r="B30" s="318">
        <v>705100</v>
      </c>
      <c r="C30" s="194" t="s">
        <v>348</v>
      </c>
      <c r="D30" s="195"/>
      <c r="E30" s="196"/>
      <c r="F30" s="196">
        <v>0</v>
      </c>
      <c r="G30" s="196">
        <v>400.3</v>
      </c>
      <c r="H30" s="196"/>
      <c r="I30" s="196"/>
      <c r="J30" s="197">
        <f t="shared" si="5"/>
        <v>0</v>
      </c>
      <c r="K30" s="198" t="e">
        <f t="shared" si="6"/>
        <v>#DIV/0!</v>
      </c>
      <c r="L30" s="196"/>
      <c r="M30" s="196"/>
      <c r="N30" s="196"/>
      <c r="O30" s="196"/>
      <c r="P30" s="199"/>
    </row>
    <row r="31" spans="1:19" ht="31.5" customHeight="1" x14ac:dyDescent="0.2">
      <c r="A31" s="193" t="s">
        <v>347</v>
      </c>
      <c r="B31" s="318">
        <v>705300</v>
      </c>
      <c r="C31" s="194" t="s">
        <v>346</v>
      </c>
      <c r="D31" s="195"/>
      <c r="E31" s="196">
        <v>1258.1200000000001</v>
      </c>
      <c r="F31" s="196"/>
      <c r="G31" s="196"/>
      <c r="H31" s="196"/>
      <c r="I31" s="196"/>
      <c r="J31" s="197">
        <f t="shared" si="5"/>
        <v>0</v>
      </c>
      <c r="K31" s="198" t="e">
        <f t="shared" si="6"/>
        <v>#DIV/0!</v>
      </c>
      <c r="L31" s="196"/>
      <c r="M31" s="196"/>
      <c r="N31" s="196"/>
      <c r="O31" s="196"/>
      <c r="P31" s="199"/>
    </row>
    <row r="32" spans="1:19" ht="31.5" customHeight="1" x14ac:dyDescent="0.2">
      <c r="A32" s="193" t="s">
        <v>345</v>
      </c>
      <c r="B32" s="318">
        <v>705500</v>
      </c>
      <c r="C32" s="194" t="s">
        <v>344</v>
      </c>
      <c r="D32" s="195"/>
      <c r="E32" s="196">
        <v>1506.3</v>
      </c>
      <c r="F32" s="196">
        <v>1963.22</v>
      </c>
      <c r="G32" s="196">
        <v>2945.7000000000003</v>
      </c>
      <c r="H32" s="196">
        <v>1022</v>
      </c>
      <c r="I32" s="317">
        <v>2000</v>
      </c>
      <c r="J32" s="197">
        <f t="shared" si="5"/>
        <v>978</v>
      </c>
      <c r="K32" s="198">
        <f t="shared" si="6"/>
        <v>0.95694716242661448</v>
      </c>
      <c r="L32" s="196"/>
      <c r="M32" s="196"/>
      <c r="N32" s="196"/>
      <c r="O32" s="196"/>
      <c r="P32" s="340" t="s">
        <v>1039</v>
      </c>
    </row>
    <row r="33" spans="1:16" ht="31.5" customHeight="1" x14ac:dyDescent="0.2">
      <c r="A33" s="193" t="s">
        <v>276</v>
      </c>
      <c r="B33" s="319">
        <v>706605</v>
      </c>
      <c r="C33" s="194" t="s">
        <v>275</v>
      </c>
      <c r="D33" s="195"/>
      <c r="E33" s="196">
        <v>649.12</v>
      </c>
      <c r="F33" s="196">
        <v>650.88</v>
      </c>
      <c r="G33" s="196">
        <v>54.17</v>
      </c>
      <c r="H33" s="196"/>
      <c r="I33" s="196"/>
      <c r="J33" s="197">
        <f t="shared" si="5"/>
        <v>0</v>
      </c>
      <c r="K33" s="198" t="e">
        <f t="shared" si="6"/>
        <v>#DIV/0!</v>
      </c>
      <c r="L33" s="196"/>
      <c r="M33" s="196"/>
      <c r="N33" s="196"/>
      <c r="O33" s="196"/>
      <c r="P33" s="199"/>
    </row>
    <row r="34" spans="1:16" ht="31.5" customHeight="1" x14ac:dyDescent="0.2">
      <c r="A34" s="193" t="s">
        <v>258</v>
      </c>
      <c r="B34" s="318">
        <v>707101</v>
      </c>
      <c r="C34" s="194" t="s">
        <v>257</v>
      </c>
      <c r="D34" s="195"/>
      <c r="E34" s="196"/>
      <c r="F34" s="196"/>
      <c r="G34" s="196">
        <v>595.83000000000004</v>
      </c>
      <c r="H34" s="196">
        <v>54</v>
      </c>
      <c r="I34" s="196"/>
      <c r="J34" s="197">
        <f t="shared" si="5"/>
        <v>-54</v>
      </c>
      <c r="K34" s="198">
        <f t="shared" si="6"/>
        <v>-1</v>
      </c>
      <c r="L34" s="196"/>
      <c r="M34" s="196"/>
      <c r="N34" s="196"/>
      <c r="O34" s="196"/>
      <c r="P34" s="199"/>
    </row>
    <row r="35" spans="1:16" ht="31.5" customHeight="1" x14ac:dyDescent="0.2">
      <c r="A35" s="193" t="s">
        <v>250</v>
      </c>
      <c r="B35" s="318">
        <v>707153</v>
      </c>
      <c r="C35" s="194" t="s">
        <v>249</v>
      </c>
      <c r="D35" s="195"/>
      <c r="E35" s="196"/>
      <c r="F35" s="196"/>
      <c r="G35" s="196">
        <v>400</v>
      </c>
      <c r="H35" s="196">
        <v>400</v>
      </c>
      <c r="I35" s="196">
        <v>400</v>
      </c>
      <c r="J35" s="197">
        <f t="shared" si="5"/>
        <v>0</v>
      </c>
      <c r="K35" s="198">
        <f t="shared" si="6"/>
        <v>0</v>
      </c>
      <c r="L35" s="196"/>
      <c r="M35" s="196"/>
      <c r="N35" s="196"/>
      <c r="O35" s="196"/>
      <c r="P35" s="199"/>
    </row>
    <row r="36" spans="1:16" ht="31.5" customHeight="1" x14ac:dyDescent="0.2">
      <c r="A36" s="193" t="s">
        <v>230</v>
      </c>
      <c r="B36" s="318">
        <v>707151</v>
      </c>
      <c r="C36" s="194" t="s">
        <v>15</v>
      </c>
      <c r="D36" s="195"/>
      <c r="E36" s="196">
        <v>169.68</v>
      </c>
      <c r="F36" s="196">
        <v>177.42000000000002</v>
      </c>
      <c r="G36" s="196">
        <v>180</v>
      </c>
      <c r="H36" s="196">
        <f>15*12</f>
        <v>180</v>
      </c>
      <c r="I36" s="196">
        <v>180</v>
      </c>
      <c r="J36" s="197">
        <f t="shared" si="5"/>
        <v>0</v>
      </c>
      <c r="K36" s="198">
        <f t="shared" si="6"/>
        <v>0</v>
      </c>
      <c r="L36" s="196"/>
      <c r="M36" s="196"/>
      <c r="N36" s="196"/>
      <c r="O36" s="196"/>
      <c r="P36" s="199"/>
    </row>
    <row r="37" spans="1:16" ht="31.5" customHeight="1" x14ac:dyDescent="0.2">
      <c r="A37" s="193" t="s">
        <v>229</v>
      </c>
      <c r="B37" s="318">
        <v>707151</v>
      </c>
      <c r="C37" s="194" t="s">
        <v>16</v>
      </c>
      <c r="D37" s="195"/>
      <c r="E37" s="196">
        <v>28.28</v>
      </c>
      <c r="F37" s="196">
        <v>10.540000000000001</v>
      </c>
      <c r="G37" s="196">
        <v>2.52</v>
      </c>
      <c r="H37" s="196">
        <v>5</v>
      </c>
      <c r="I37" s="196">
        <v>5</v>
      </c>
      <c r="J37" s="197">
        <f t="shared" si="5"/>
        <v>0</v>
      </c>
      <c r="K37" s="198">
        <f t="shared" si="6"/>
        <v>0</v>
      </c>
      <c r="L37" s="196"/>
      <c r="M37" s="196"/>
      <c r="N37" s="196"/>
      <c r="O37" s="196"/>
      <c r="P37" s="199"/>
    </row>
    <row r="38" spans="1:16" ht="31.5" customHeight="1" x14ac:dyDescent="0.2">
      <c r="A38" s="193" t="s">
        <v>203</v>
      </c>
      <c r="B38" s="318">
        <v>707301</v>
      </c>
      <c r="C38" s="194" t="s">
        <v>18</v>
      </c>
      <c r="D38" s="195"/>
      <c r="E38" s="196">
        <v>1732.63</v>
      </c>
      <c r="F38" s="196">
        <v>1505.8700000000001</v>
      </c>
      <c r="G38" s="196">
        <v>1741.98</v>
      </c>
      <c r="H38" s="196">
        <v>1195</v>
      </c>
      <c r="I38" s="196">
        <v>1400</v>
      </c>
      <c r="J38" s="197">
        <f t="shared" si="5"/>
        <v>205</v>
      </c>
      <c r="K38" s="198">
        <f t="shared" si="6"/>
        <v>0.17154811715481172</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13.5" thickBot="1" x14ac:dyDescent="0.25">
      <c r="A40" s="200"/>
      <c r="B40" s="200"/>
      <c r="C40" s="177" t="s">
        <v>22</v>
      </c>
      <c r="D40" s="201"/>
      <c r="E40" s="180">
        <f>SUM(E21:E39)</f>
        <v>56209.220000000008</v>
      </c>
      <c r="F40" s="180">
        <f>SUM(F21:F39)</f>
        <v>55519.700000000004</v>
      </c>
      <c r="G40" s="180">
        <f>SUM(G21:G39)</f>
        <v>57378.87</v>
      </c>
      <c r="H40" s="180">
        <f>SUM(H21:H39)</f>
        <v>53688.020000000004</v>
      </c>
      <c r="I40" s="180">
        <f>SUM(I21:I39)</f>
        <v>57134</v>
      </c>
      <c r="J40" s="180">
        <f t="shared" si="5"/>
        <v>3445.9799999999959</v>
      </c>
      <c r="K40" s="181">
        <f t="shared" si="6"/>
        <v>6.4185268892389694E-2</v>
      </c>
      <c r="L40" s="180">
        <f>SUM(L21:L39)</f>
        <v>4000</v>
      </c>
      <c r="M40" s="180">
        <f>SUM(M21:M39)</f>
        <v>0</v>
      </c>
      <c r="N40" s="180">
        <f>SUM(N21:N39)</f>
        <v>0</v>
      </c>
      <c r="O40" s="180">
        <f>SUM(O21:O39)</f>
        <v>1714</v>
      </c>
      <c r="P40" s="202"/>
    </row>
    <row r="41" spans="1:16" ht="13.5" thickBot="1" x14ac:dyDescent="0.25">
      <c r="A41" s="203"/>
      <c r="B41" s="203"/>
      <c r="C41" s="204" t="s">
        <v>702</v>
      </c>
      <c r="D41" s="205"/>
      <c r="E41" s="206">
        <f>E18+E40</f>
        <v>73020.700000000012</v>
      </c>
      <c r="F41" s="206">
        <f>F18+F40</f>
        <v>70557</v>
      </c>
      <c r="G41" s="206">
        <f>G18+G40</f>
        <v>70309.47</v>
      </c>
      <c r="H41" s="206">
        <f>H18+H40</f>
        <v>66931.02</v>
      </c>
      <c r="I41" s="206">
        <f>I18+I40</f>
        <v>70377</v>
      </c>
      <c r="J41" s="206">
        <f>I41-H41</f>
        <v>3445.9799999999959</v>
      </c>
      <c r="K41" s="207">
        <f>(I41-H41)/H41</f>
        <v>5.1485544370905981E-2</v>
      </c>
      <c r="L41" s="206">
        <f>L18+L40</f>
        <v>4000</v>
      </c>
      <c r="M41" s="206">
        <f>M18+M40</f>
        <v>0</v>
      </c>
      <c r="N41" s="206">
        <f>N18+N40</f>
        <v>0</v>
      </c>
      <c r="O41" s="206">
        <f>O18+O40</f>
        <v>1714</v>
      </c>
      <c r="P41" s="208"/>
    </row>
    <row r="42" spans="1:16" x14ac:dyDescent="0.2">
      <c r="A42" s="203"/>
      <c r="B42" s="203"/>
      <c r="C42" s="209" t="s">
        <v>698</v>
      </c>
      <c r="D42" s="210"/>
      <c r="E42" s="211"/>
      <c r="F42" s="211"/>
      <c r="G42" s="211"/>
      <c r="H42" s="212">
        <v>0</v>
      </c>
      <c r="I42" s="213"/>
      <c r="J42" s="213"/>
      <c r="K42" s="214"/>
      <c r="L42" s="213"/>
      <c r="M42" s="213"/>
      <c r="N42" s="213"/>
      <c r="O42" s="213"/>
      <c r="P42" s="215"/>
    </row>
    <row r="43" spans="1:16" x14ac:dyDescent="0.2">
      <c r="A43" s="203"/>
      <c r="B43" s="203"/>
      <c r="C43" s="183" t="s">
        <v>699</v>
      </c>
      <c r="D43" s="184"/>
      <c r="E43" s="216"/>
      <c r="F43" s="216"/>
      <c r="G43" s="216"/>
      <c r="H43" s="185">
        <f>55753</f>
        <v>55753</v>
      </c>
      <c r="I43" s="217"/>
      <c r="J43" s="217"/>
      <c r="K43" s="218"/>
      <c r="L43" s="217"/>
      <c r="M43" s="217"/>
      <c r="N43" s="217"/>
      <c r="O43" s="217"/>
      <c r="P43" s="219"/>
    </row>
    <row r="44" spans="1:16" x14ac:dyDescent="0.2">
      <c r="A44" s="203"/>
      <c r="B44" s="203"/>
      <c r="C44" s="183" t="s">
        <v>700</v>
      </c>
      <c r="D44" s="184"/>
      <c r="E44" s="216"/>
      <c r="F44" s="216"/>
      <c r="G44" s="216"/>
      <c r="H44" s="220">
        <f>H42-H10</f>
        <v>0</v>
      </c>
      <c r="I44" s="217"/>
      <c r="J44" s="217"/>
      <c r="K44" s="218"/>
      <c r="L44" s="217"/>
      <c r="M44" s="217"/>
      <c r="N44" s="217"/>
      <c r="O44" s="217"/>
      <c r="P44" s="219"/>
    </row>
    <row r="45" spans="1:16" x14ac:dyDescent="0.2">
      <c r="A45" s="221"/>
      <c r="B45" s="221"/>
      <c r="C45" s="183" t="s">
        <v>701</v>
      </c>
      <c r="D45" s="184"/>
      <c r="E45" s="217"/>
      <c r="F45" s="217"/>
      <c r="G45" s="217"/>
      <c r="H45" s="220">
        <f>H43-H41</f>
        <v>-11178.020000000004</v>
      </c>
      <c r="I45" s="217"/>
      <c r="J45" s="217"/>
      <c r="K45" s="218"/>
      <c r="L45" s="217"/>
      <c r="M45" s="217"/>
      <c r="N45" s="217"/>
      <c r="O45" s="217"/>
      <c r="P45" s="219"/>
    </row>
    <row r="47" spans="1:16" s="157" customFormat="1" ht="18.75" customHeight="1" thickBot="1" x14ac:dyDescent="0.25">
      <c r="A47" s="158" t="s">
        <v>687</v>
      </c>
      <c r="B47" s="158" t="s">
        <v>687</v>
      </c>
      <c r="M47" s="406" t="s">
        <v>690</v>
      </c>
      <c r="N47" s="406"/>
      <c r="O47" s="406"/>
    </row>
    <row r="48" spans="1:16" s="157" customFormat="1" ht="51.75" thickBot="1" x14ac:dyDescent="0.25">
      <c r="A48" s="225"/>
      <c r="B48" s="225"/>
      <c r="C48" s="229" t="s">
        <v>633</v>
      </c>
      <c r="D48" s="249"/>
      <c r="E48" s="234" t="s">
        <v>749</v>
      </c>
      <c r="F48" s="234" t="s">
        <v>750</v>
      </c>
      <c r="G48" s="234" t="s">
        <v>751</v>
      </c>
      <c r="H48" s="294" t="s">
        <v>747</v>
      </c>
      <c r="I48" s="234" t="s">
        <v>748</v>
      </c>
      <c r="J48" s="234" t="s">
        <v>745</v>
      </c>
      <c r="K48" s="295" t="s">
        <v>641</v>
      </c>
      <c r="M48" s="145"/>
      <c r="N48" s="145" t="s">
        <v>693</v>
      </c>
      <c r="O48" s="145" t="s">
        <v>694</v>
      </c>
    </row>
    <row r="49" spans="1:15" s="157" customFormat="1" x14ac:dyDescent="0.2">
      <c r="A49" s="225"/>
      <c r="B49" s="225"/>
      <c r="C49" s="194" t="s">
        <v>1041</v>
      </c>
      <c r="D49" s="336"/>
      <c r="E49" s="226"/>
      <c r="F49" s="226"/>
      <c r="G49" s="226"/>
      <c r="H49" s="226"/>
      <c r="I49" s="226">
        <v>3500</v>
      </c>
      <c r="J49" s="227">
        <f>I49-H49</f>
        <v>3500</v>
      </c>
      <c r="K49" s="228" t="e">
        <f>(I49-H49)/H49</f>
        <v>#DIV/0!</v>
      </c>
      <c r="M49" s="146" t="s">
        <v>691</v>
      </c>
      <c r="N49" s="146">
        <v>2</v>
      </c>
      <c r="O49" s="146">
        <v>0</v>
      </c>
    </row>
    <row r="50" spans="1:15" s="157" customFormat="1" x14ac:dyDescent="0.2">
      <c r="M50" s="146" t="s">
        <v>692</v>
      </c>
      <c r="N50" s="146"/>
      <c r="O50" s="146"/>
    </row>
    <row r="51" spans="1:15" s="157" customFormat="1" x14ac:dyDescent="0.2">
      <c r="M51" s="146" t="s">
        <v>23</v>
      </c>
      <c r="N51" s="146">
        <f>SUM(N49:N50)</f>
        <v>2</v>
      </c>
      <c r="O51" s="146">
        <f>SUM(O49:O50)</f>
        <v>0</v>
      </c>
    </row>
    <row r="52" spans="1:15" s="157" customFormat="1" x14ac:dyDescent="0.2"/>
    <row r="53" spans="1:15" s="157" customFormat="1" x14ac:dyDescent="0.2"/>
    <row r="54" spans="1:15" s="157" customFormat="1" x14ac:dyDescent="0.2"/>
  </sheetData>
  <mergeCells count="2">
    <mergeCell ref="L3:N3"/>
    <mergeCell ref="M47:O47"/>
  </mergeCells>
  <pageMargins left="0.25" right="0.25" top="0.17708333300000001" bottom="0.104166667" header="0.3" footer="0.3"/>
  <pageSetup paperSize="5" scale="65" orientation="landscape" r:id="rId1"/>
  <headerFooter>
    <oddHeader>&amp;C&amp;"Calibri,Bold"&amp;A</oddHeader>
    <oddFooter>&amp;Rprinted:  &amp;D&amp;T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5"/>
  <sheetViews>
    <sheetView showGridLines="0" topLeftCell="A17"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856</v>
      </c>
      <c r="O1" s="164"/>
    </row>
    <row r="2" spans="1:19" ht="23.25" customHeight="1" thickBot="1" x14ac:dyDescent="0.3">
      <c r="A2" s="290" t="s">
        <v>810</v>
      </c>
      <c r="B2" s="232"/>
      <c r="C2" s="292" t="s">
        <v>857</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31806.87+22257.37</f>
        <v>54064.24</v>
      </c>
      <c r="F6" s="171">
        <f>35284.68+22328.23</f>
        <v>57612.91</v>
      </c>
      <c r="G6" s="171">
        <f>35252.03+10274.7</f>
        <v>45526.729999999996</v>
      </c>
      <c r="H6" s="171">
        <f>SUM('FT Salaries'!E54)</f>
        <v>55536.28</v>
      </c>
      <c r="I6" s="172">
        <f>SUM(H6)</f>
        <v>55536.28</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54064.24</v>
      </c>
      <c r="F8" s="179">
        <f>SUM(F6:F7)</f>
        <v>57612.91</v>
      </c>
      <c r="G8" s="179">
        <f>SUM(G6:G7)</f>
        <v>45526.729999999996</v>
      </c>
      <c r="H8" s="179">
        <f>SUM(H6:H7)</f>
        <v>55536.28</v>
      </c>
      <c r="I8" s="179">
        <f>SUM(I6:I7)</f>
        <v>55536.28</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6000</v>
      </c>
      <c r="F12" s="171"/>
      <c r="G12" s="171">
        <v>6000</v>
      </c>
      <c r="H12" s="171"/>
      <c r="I12" s="172"/>
      <c r="J12" s="173">
        <f t="shared" si="1"/>
        <v>0</v>
      </c>
      <c r="K12" s="174" t="e">
        <f t="shared" ref="K12:K18" si="2">(I12-H12)/H12</f>
        <v>#DIV/0!</v>
      </c>
      <c r="L12" s="172"/>
      <c r="M12" s="175"/>
      <c r="N12" s="175"/>
      <c r="O12" s="175"/>
      <c r="P12" s="147"/>
      <c r="Q12" s="157"/>
      <c r="R12" s="157"/>
      <c r="S12" s="157"/>
    </row>
    <row r="13" spans="1:19" x14ac:dyDescent="0.2">
      <c r="A13" s="169" t="s">
        <v>591</v>
      </c>
      <c r="B13" s="318">
        <v>601307</v>
      </c>
      <c r="C13" s="146" t="s">
        <v>590</v>
      </c>
      <c r="D13" s="170"/>
      <c r="E13" s="171">
        <v>7492.64</v>
      </c>
      <c r="F13" s="171"/>
      <c r="G13" s="171">
        <v>4982.3599999999997</v>
      </c>
      <c r="H13" s="171">
        <v>8354</v>
      </c>
      <c r="I13" s="172">
        <v>8000</v>
      </c>
      <c r="J13" s="173">
        <f t="shared" si="1"/>
        <v>-354</v>
      </c>
      <c r="K13" s="174">
        <f t="shared" si="2"/>
        <v>-4.2374910222647832E-2</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13492.64</v>
      </c>
      <c r="F18" s="185">
        <f t="shared" ref="F18:I18" si="3">SUM(F12:F17)</f>
        <v>0</v>
      </c>
      <c r="G18" s="185">
        <f t="shared" si="3"/>
        <v>10982.36</v>
      </c>
      <c r="H18" s="185">
        <f t="shared" si="3"/>
        <v>8354</v>
      </c>
      <c r="I18" s="185">
        <f t="shared" si="3"/>
        <v>8000</v>
      </c>
      <c r="J18" s="185">
        <f t="shared" si="1"/>
        <v>-354</v>
      </c>
      <c r="K18" s="186">
        <f t="shared" si="2"/>
        <v>-4.2374910222647832E-2</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1570.5</v>
      </c>
      <c r="F21" s="196"/>
      <c r="G21" s="196"/>
      <c r="H21" s="196"/>
      <c r="I21" s="196"/>
      <c r="J21" s="197">
        <f t="shared" ref="J21:J41" si="5">I21-H21</f>
        <v>0</v>
      </c>
      <c r="K21" s="198" t="e">
        <f t="shared" ref="K21:K41" si="6">(I21-H21)/H21</f>
        <v>#DIV/0!</v>
      </c>
      <c r="L21" s="196"/>
      <c r="M21" s="196"/>
      <c r="N21" s="196"/>
      <c r="O21" s="196"/>
      <c r="P21" s="199"/>
    </row>
    <row r="22" spans="1:19" ht="31.5" customHeight="1" x14ac:dyDescent="0.2">
      <c r="A22" s="193" t="s">
        <v>416</v>
      </c>
      <c r="B22" s="318">
        <v>702200</v>
      </c>
      <c r="C22" s="194" t="s">
        <v>11</v>
      </c>
      <c r="D22" s="195"/>
      <c r="E22" s="196">
        <v>15651.23</v>
      </c>
      <c r="F22" s="196">
        <v>6308.83</v>
      </c>
      <c r="G22" s="196">
        <v>9496</v>
      </c>
      <c r="H22" s="196">
        <v>5000</v>
      </c>
      <c r="I22" s="196">
        <f>3000+7500</f>
        <v>10500</v>
      </c>
      <c r="J22" s="197">
        <f t="shared" si="5"/>
        <v>5500</v>
      </c>
      <c r="K22" s="198">
        <f t="shared" si="6"/>
        <v>1.1000000000000001</v>
      </c>
      <c r="L22" s="196"/>
      <c r="M22" s="196"/>
      <c r="N22" s="196"/>
      <c r="O22" s="196">
        <v>1359</v>
      </c>
      <c r="P22" s="199" t="s">
        <v>1076</v>
      </c>
    </row>
    <row r="23" spans="1:19" ht="31.5" customHeight="1" x14ac:dyDescent="0.2">
      <c r="A23" s="193" t="s">
        <v>387</v>
      </c>
      <c r="B23" s="318">
        <v>701406</v>
      </c>
      <c r="C23" s="194" t="s">
        <v>386</v>
      </c>
      <c r="D23" s="195"/>
      <c r="E23" s="196">
        <v>225</v>
      </c>
      <c r="F23" s="196"/>
      <c r="G23" s="196">
        <v>550</v>
      </c>
      <c r="H23" s="196">
        <v>792.5</v>
      </c>
      <c r="I23" s="196">
        <v>793</v>
      </c>
      <c r="J23" s="197">
        <f t="shared" si="5"/>
        <v>0.5</v>
      </c>
      <c r="K23" s="198">
        <f t="shared" si="6"/>
        <v>6.3091482649842276E-4</v>
      </c>
      <c r="L23" s="196"/>
      <c r="M23" s="196"/>
      <c r="N23" s="196"/>
      <c r="O23" s="196"/>
      <c r="P23" s="199"/>
    </row>
    <row r="24" spans="1:19" ht="31.5" customHeight="1" x14ac:dyDescent="0.2">
      <c r="A24" s="193" t="s">
        <v>377</v>
      </c>
      <c r="B24" s="318">
        <v>701500</v>
      </c>
      <c r="C24" s="194" t="s">
        <v>376</v>
      </c>
      <c r="D24" s="195"/>
      <c r="E24" s="196">
        <v>358</v>
      </c>
      <c r="F24" s="196">
        <v>380</v>
      </c>
      <c r="G24" s="196">
        <v>30</v>
      </c>
      <c r="H24" s="196">
        <v>350</v>
      </c>
      <c r="I24" s="196">
        <v>350</v>
      </c>
      <c r="J24" s="197">
        <f t="shared" si="5"/>
        <v>0</v>
      </c>
      <c r="K24" s="198">
        <f t="shared" si="6"/>
        <v>0</v>
      </c>
      <c r="L24" s="196"/>
      <c r="M24" s="196"/>
      <c r="N24" s="196"/>
      <c r="O24" s="196"/>
      <c r="P24" s="199"/>
    </row>
    <row r="25" spans="1:19" ht="31.5" customHeight="1" x14ac:dyDescent="0.2">
      <c r="A25" s="193" t="s">
        <v>363</v>
      </c>
      <c r="B25" s="318">
        <v>701603</v>
      </c>
      <c r="C25" s="194" t="s">
        <v>362</v>
      </c>
      <c r="D25" s="195"/>
      <c r="E25" s="196">
        <v>1496.88</v>
      </c>
      <c r="F25" s="196">
        <v>336.38</v>
      </c>
      <c r="G25" s="196">
        <v>792.5</v>
      </c>
      <c r="H25" s="196">
        <f>700+500</f>
        <v>1200</v>
      </c>
      <c r="I25" s="196">
        <v>2000</v>
      </c>
      <c r="J25" s="197">
        <f t="shared" si="5"/>
        <v>800</v>
      </c>
      <c r="K25" s="198">
        <f t="shared" si="6"/>
        <v>0.66666666666666663</v>
      </c>
      <c r="L25" s="196"/>
      <c r="M25" s="196"/>
      <c r="N25" s="196"/>
      <c r="O25" s="196"/>
      <c r="P25" s="199"/>
    </row>
    <row r="26" spans="1:19" ht="31.5" customHeight="1" x14ac:dyDescent="0.2">
      <c r="A26" s="193" t="s">
        <v>361</v>
      </c>
      <c r="B26" s="318">
        <v>705001</v>
      </c>
      <c r="C26" s="194" t="s">
        <v>360</v>
      </c>
      <c r="D26" s="195"/>
      <c r="E26" s="196">
        <v>3311</v>
      </c>
      <c r="F26" s="196">
        <v>2626.87</v>
      </c>
      <c r="G26" s="196">
        <v>8637.99</v>
      </c>
      <c r="H26" s="196">
        <v>4266</v>
      </c>
      <c r="I26" s="196">
        <v>4000</v>
      </c>
      <c r="J26" s="197">
        <f t="shared" si="5"/>
        <v>-266</v>
      </c>
      <c r="K26" s="198">
        <f t="shared" si="6"/>
        <v>-6.235349273323957E-2</v>
      </c>
      <c r="L26" s="196"/>
      <c r="M26" s="196"/>
      <c r="N26" s="196"/>
      <c r="O26" s="196"/>
      <c r="P26" s="199"/>
    </row>
    <row r="27" spans="1:19" ht="31.5" customHeight="1" x14ac:dyDescent="0.2">
      <c r="A27" s="193" t="s">
        <v>359</v>
      </c>
      <c r="B27" s="318">
        <v>705101</v>
      </c>
      <c r="C27" s="194" t="s">
        <v>358</v>
      </c>
      <c r="D27" s="195"/>
      <c r="E27" s="196">
        <v>32182.030000000002</v>
      </c>
      <c r="F27" s="196">
        <v>29813.91</v>
      </c>
      <c r="G27" s="196">
        <v>23641.93</v>
      </c>
      <c r="H27" s="196">
        <v>23503</v>
      </c>
      <c r="I27" s="196">
        <v>20546</v>
      </c>
      <c r="J27" s="197">
        <f t="shared" si="5"/>
        <v>-2957</v>
      </c>
      <c r="K27" s="198">
        <f t="shared" si="6"/>
        <v>-0.12581372590733098</v>
      </c>
      <c r="L27" s="196"/>
      <c r="M27" s="196"/>
      <c r="N27" s="196"/>
      <c r="O27" s="196"/>
      <c r="P27" s="199"/>
    </row>
    <row r="28" spans="1:19" ht="31.5" customHeight="1" x14ac:dyDescent="0.2">
      <c r="A28" s="193" t="s">
        <v>357</v>
      </c>
      <c r="B28" s="318">
        <v>705002</v>
      </c>
      <c r="C28" s="194" t="s">
        <v>356</v>
      </c>
      <c r="D28" s="195"/>
      <c r="E28" s="196">
        <v>470.47</v>
      </c>
      <c r="F28" s="196">
        <v>739.57</v>
      </c>
      <c r="G28" s="196">
        <v>1038.45</v>
      </c>
      <c r="H28" s="196">
        <v>200</v>
      </c>
      <c r="I28" s="196"/>
      <c r="J28" s="197">
        <f t="shared" si="5"/>
        <v>-200</v>
      </c>
      <c r="K28" s="198">
        <f t="shared" si="6"/>
        <v>-1</v>
      </c>
      <c r="L28" s="196">
        <v>250</v>
      </c>
      <c r="M28" s="196"/>
      <c r="N28" s="196"/>
      <c r="O28" s="196"/>
      <c r="P28" s="199" t="s">
        <v>1075</v>
      </c>
    </row>
    <row r="29" spans="1:19" ht="31.5" customHeight="1" x14ac:dyDescent="0.2">
      <c r="A29" s="193" t="s">
        <v>355</v>
      </c>
      <c r="B29" s="318">
        <v>705102</v>
      </c>
      <c r="C29" s="194" t="s">
        <v>354</v>
      </c>
      <c r="D29" s="195"/>
      <c r="E29" s="196"/>
      <c r="F29" s="196"/>
      <c r="G29" s="196">
        <v>143.33000000000001</v>
      </c>
      <c r="H29" s="196">
        <v>100</v>
      </c>
      <c r="I29" s="196"/>
      <c r="J29" s="197">
        <f t="shared" si="5"/>
        <v>-100</v>
      </c>
      <c r="K29" s="198">
        <f t="shared" si="6"/>
        <v>-1</v>
      </c>
      <c r="L29" s="196">
        <v>100</v>
      </c>
      <c r="M29" s="196"/>
      <c r="N29" s="196"/>
      <c r="O29" s="196"/>
      <c r="P29" s="199"/>
    </row>
    <row r="30" spans="1:19" ht="31.5" customHeight="1" x14ac:dyDescent="0.2">
      <c r="A30" s="193" t="s">
        <v>349</v>
      </c>
      <c r="B30" s="318">
        <v>705100</v>
      </c>
      <c r="C30" s="194" t="s">
        <v>348</v>
      </c>
      <c r="D30" s="195"/>
      <c r="E30" s="196">
        <v>38.26</v>
      </c>
      <c r="F30" s="196">
        <v>419.98</v>
      </c>
      <c r="G30" s="196">
        <v>1052.05</v>
      </c>
      <c r="H30" s="196">
        <v>299.42</v>
      </c>
      <c r="I30" s="196">
        <v>1000</v>
      </c>
      <c r="J30" s="197">
        <f t="shared" si="5"/>
        <v>700.57999999999993</v>
      </c>
      <c r="K30" s="198">
        <f t="shared" si="6"/>
        <v>2.3397902611715979</v>
      </c>
      <c r="L30" s="196"/>
      <c r="M30" s="196"/>
      <c r="N30" s="196"/>
      <c r="O30" s="196"/>
      <c r="P30" s="199"/>
    </row>
    <row r="31" spans="1:19" ht="31.5" customHeight="1" x14ac:dyDescent="0.2">
      <c r="A31" s="193" t="s">
        <v>276</v>
      </c>
      <c r="B31" s="319">
        <v>706605</v>
      </c>
      <c r="C31" s="194" t="s">
        <v>275</v>
      </c>
      <c r="D31" s="195"/>
      <c r="E31" s="196">
        <v>324.55</v>
      </c>
      <c r="F31" s="196">
        <v>325.45999999999998</v>
      </c>
      <c r="G31" s="196">
        <v>27.07</v>
      </c>
      <c r="H31" s="196"/>
      <c r="I31" s="196"/>
      <c r="J31" s="197">
        <f t="shared" si="5"/>
        <v>0</v>
      </c>
      <c r="K31" s="198" t="e">
        <f t="shared" si="6"/>
        <v>#DIV/0!</v>
      </c>
      <c r="L31" s="196"/>
      <c r="M31" s="196"/>
      <c r="N31" s="196"/>
      <c r="O31" s="196"/>
      <c r="P31" s="199"/>
    </row>
    <row r="32" spans="1:19" ht="31.5" customHeight="1" x14ac:dyDescent="0.2">
      <c r="A32" s="193" t="s">
        <v>258</v>
      </c>
      <c r="B32" s="318">
        <v>707101</v>
      </c>
      <c r="C32" s="194" t="s">
        <v>257</v>
      </c>
      <c r="D32" s="195"/>
      <c r="E32" s="196"/>
      <c r="F32" s="196"/>
      <c r="G32" s="196">
        <v>297.93</v>
      </c>
      <c r="H32" s="196">
        <v>27.07</v>
      </c>
      <c r="I32" s="196">
        <v>0</v>
      </c>
      <c r="J32" s="197">
        <f t="shared" si="5"/>
        <v>-27.07</v>
      </c>
      <c r="K32" s="198">
        <f t="shared" si="6"/>
        <v>-1</v>
      </c>
      <c r="L32" s="196"/>
      <c r="M32" s="196"/>
      <c r="N32" s="196"/>
      <c r="O32" s="196"/>
      <c r="P32" s="199"/>
    </row>
    <row r="33" spans="1:16" ht="31.5" customHeight="1" x14ac:dyDescent="0.2">
      <c r="A33" s="193" t="s">
        <v>230</v>
      </c>
      <c r="B33" s="318">
        <v>707151</v>
      </c>
      <c r="C33" s="194" t="s">
        <v>15</v>
      </c>
      <c r="D33" s="195"/>
      <c r="E33" s="196">
        <v>84.84</v>
      </c>
      <c r="F33" s="196">
        <v>88.710000000000008</v>
      </c>
      <c r="G33" s="196">
        <v>90</v>
      </c>
      <c r="H33" s="196">
        <v>90</v>
      </c>
      <c r="I33" s="196">
        <v>90</v>
      </c>
      <c r="J33" s="197">
        <f t="shared" si="5"/>
        <v>0</v>
      </c>
      <c r="K33" s="198">
        <f t="shared" si="6"/>
        <v>0</v>
      </c>
      <c r="L33" s="196"/>
      <c r="M33" s="196"/>
      <c r="N33" s="196"/>
      <c r="O33" s="196"/>
      <c r="P33" s="199"/>
    </row>
    <row r="34" spans="1:16" ht="31.5" customHeight="1" x14ac:dyDescent="0.2">
      <c r="A34" s="193" t="s">
        <v>229</v>
      </c>
      <c r="B34" s="318">
        <v>707151</v>
      </c>
      <c r="C34" s="194" t="s">
        <v>16</v>
      </c>
      <c r="D34" s="195"/>
      <c r="E34" s="196">
        <v>3.34</v>
      </c>
      <c r="F34" s="196">
        <v>0.34</v>
      </c>
      <c r="G34" s="196">
        <v>0.18</v>
      </c>
      <c r="H34" s="196">
        <v>5</v>
      </c>
      <c r="I34" s="196">
        <v>5</v>
      </c>
      <c r="J34" s="197">
        <f t="shared" si="5"/>
        <v>0</v>
      </c>
      <c r="K34" s="198">
        <f t="shared" si="6"/>
        <v>0</v>
      </c>
      <c r="L34" s="196"/>
      <c r="M34" s="196"/>
      <c r="N34" s="196"/>
      <c r="O34" s="196"/>
      <c r="P34" s="199"/>
    </row>
    <row r="35" spans="1:16" ht="31.5" customHeight="1" x14ac:dyDescent="0.2">
      <c r="A35" s="193" t="s">
        <v>203</v>
      </c>
      <c r="B35" s="318">
        <v>707301</v>
      </c>
      <c r="C35" s="194" t="s">
        <v>18</v>
      </c>
      <c r="D35" s="195"/>
      <c r="E35" s="196">
        <v>3658.35</v>
      </c>
      <c r="F35" s="196">
        <v>3310.37</v>
      </c>
      <c r="G35" s="196">
        <v>1300</v>
      </c>
      <c r="H35" s="196">
        <v>6625</v>
      </c>
      <c r="I35" s="196">
        <v>6000</v>
      </c>
      <c r="J35" s="197">
        <f t="shared" si="5"/>
        <v>-625</v>
      </c>
      <c r="K35" s="198">
        <f t="shared" si="6"/>
        <v>-9.4339622641509441E-2</v>
      </c>
      <c r="L35" s="196"/>
      <c r="M35" s="196"/>
      <c r="N35" s="196"/>
      <c r="O35" s="196"/>
      <c r="P35" s="199"/>
    </row>
    <row r="36" spans="1:16" ht="31.5" customHeight="1" x14ac:dyDescent="0.2">
      <c r="A36" s="193"/>
      <c r="B36" s="193"/>
      <c r="C36" s="194"/>
      <c r="D36" s="195"/>
      <c r="E36" s="196"/>
      <c r="F36" s="196"/>
      <c r="G36" s="196"/>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31.5" customHeight="1" x14ac:dyDescent="0.2">
      <c r="A40" s="193"/>
      <c r="B40" s="193"/>
      <c r="C40" s="194"/>
      <c r="D40" s="195"/>
      <c r="E40" s="196"/>
      <c r="F40" s="196"/>
      <c r="G40" s="196"/>
      <c r="H40" s="196"/>
      <c r="I40" s="196"/>
      <c r="J40" s="197">
        <f t="shared" si="5"/>
        <v>0</v>
      </c>
      <c r="K40" s="198" t="e">
        <f t="shared" si="6"/>
        <v>#DIV/0!</v>
      </c>
      <c r="L40" s="196"/>
      <c r="M40" s="196"/>
      <c r="N40" s="196"/>
      <c r="O40" s="196"/>
      <c r="P40" s="199"/>
    </row>
    <row r="41" spans="1:16" ht="13.5" thickBot="1" x14ac:dyDescent="0.25">
      <c r="A41" s="200"/>
      <c r="B41" s="200"/>
      <c r="C41" s="177" t="s">
        <v>22</v>
      </c>
      <c r="D41" s="201"/>
      <c r="E41" s="180">
        <f>SUM(E21:E40)</f>
        <v>59374.45</v>
      </c>
      <c r="F41" s="180">
        <f>SUM(F21:F40)</f>
        <v>44350.42</v>
      </c>
      <c r="G41" s="180">
        <f>SUM(G21:G40)</f>
        <v>47097.43</v>
      </c>
      <c r="H41" s="180">
        <f>SUM(H21:H40)</f>
        <v>42457.99</v>
      </c>
      <c r="I41" s="180">
        <f>SUM(I21:I40)</f>
        <v>45284</v>
      </c>
      <c r="J41" s="180">
        <f t="shared" si="5"/>
        <v>2826.010000000002</v>
      </c>
      <c r="K41" s="181">
        <f t="shared" si="6"/>
        <v>6.6560145687537306E-2</v>
      </c>
      <c r="L41" s="180">
        <f>SUM(L21:L40)</f>
        <v>350</v>
      </c>
      <c r="M41" s="180">
        <f>SUM(M21:M40)</f>
        <v>0</v>
      </c>
      <c r="N41" s="180">
        <f>SUM(N21:N40)</f>
        <v>0</v>
      </c>
      <c r="O41" s="180">
        <f>SUM(O21:O40)</f>
        <v>1359</v>
      </c>
      <c r="P41" s="202"/>
    </row>
    <row r="42" spans="1:16" ht="13.5" thickBot="1" x14ac:dyDescent="0.25">
      <c r="A42" s="203"/>
      <c r="B42" s="203"/>
      <c r="C42" s="204" t="s">
        <v>702</v>
      </c>
      <c r="D42" s="205"/>
      <c r="E42" s="206">
        <f>E18+E41</f>
        <v>72867.09</v>
      </c>
      <c r="F42" s="206">
        <f>F18+F41</f>
        <v>44350.42</v>
      </c>
      <c r="G42" s="206">
        <f>G18+G41</f>
        <v>58079.79</v>
      </c>
      <c r="H42" s="206">
        <f>H18+H41</f>
        <v>50811.99</v>
      </c>
      <c r="I42" s="206">
        <f>I18+I41</f>
        <v>53284</v>
      </c>
      <c r="J42" s="206">
        <f>I42-H42</f>
        <v>2472.010000000002</v>
      </c>
      <c r="K42" s="207">
        <f>(I42-H42)/H42</f>
        <v>4.8650131592956745E-2</v>
      </c>
      <c r="L42" s="206">
        <f>L18+L41</f>
        <v>350</v>
      </c>
      <c r="M42" s="206">
        <f>M18+M41</f>
        <v>0</v>
      </c>
      <c r="N42" s="206">
        <f>N18+N41</f>
        <v>0</v>
      </c>
      <c r="O42" s="206">
        <f>O18+O41</f>
        <v>1359</v>
      </c>
      <c r="P42" s="208"/>
    </row>
    <row r="43" spans="1:16" x14ac:dyDescent="0.2">
      <c r="A43" s="203"/>
      <c r="B43" s="203"/>
      <c r="C43" s="209" t="s">
        <v>698</v>
      </c>
      <c r="D43" s="210"/>
      <c r="E43" s="211"/>
      <c r="F43" s="211"/>
      <c r="G43" s="211"/>
      <c r="H43" s="212">
        <v>0</v>
      </c>
      <c r="I43" s="213"/>
      <c r="J43" s="213"/>
      <c r="K43" s="214"/>
      <c r="L43" s="213"/>
      <c r="M43" s="213"/>
      <c r="N43" s="213"/>
      <c r="O43" s="213"/>
      <c r="P43" s="215"/>
    </row>
    <row r="44" spans="1:16" x14ac:dyDescent="0.2">
      <c r="A44" s="203"/>
      <c r="B44" s="203"/>
      <c r="C44" s="183" t="s">
        <v>699</v>
      </c>
      <c r="D44" s="184"/>
      <c r="E44" s="216"/>
      <c r="F44" s="216"/>
      <c r="G44" s="216"/>
      <c r="H44" s="185">
        <f>41924</f>
        <v>41924</v>
      </c>
      <c r="I44" s="217"/>
      <c r="J44" s="217"/>
      <c r="K44" s="218"/>
      <c r="L44" s="217"/>
      <c r="M44" s="217"/>
      <c r="N44" s="217"/>
      <c r="O44" s="217"/>
      <c r="P44" s="219"/>
    </row>
    <row r="45" spans="1:16" x14ac:dyDescent="0.2">
      <c r="A45" s="203"/>
      <c r="B45" s="203"/>
      <c r="C45" s="183" t="s">
        <v>700</v>
      </c>
      <c r="D45" s="184"/>
      <c r="E45" s="216"/>
      <c r="F45" s="216"/>
      <c r="G45" s="216"/>
      <c r="H45" s="220">
        <f>H43-H10</f>
        <v>0</v>
      </c>
      <c r="I45" s="217"/>
      <c r="J45" s="217"/>
      <c r="K45" s="218"/>
      <c r="L45" s="217"/>
      <c r="M45" s="217"/>
      <c r="N45" s="217"/>
      <c r="O45" s="217"/>
      <c r="P45" s="219"/>
    </row>
    <row r="46" spans="1:16" x14ac:dyDescent="0.2">
      <c r="A46" s="221"/>
      <c r="B46" s="221"/>
      <c r="C46" s="183" t="s">
        <v>701</v>
      </c>
      <c r="D46" s="184"/>
      <c r="E46" s="217"/>
      <c r="F46" s="217"/>
      <c r="G46" s="217"/>
      <c r="H46" s="220">
        <f>H44-H42</f>
        <v>-8887.989999999998</v>
      </c>
      <c r="I46" s="217"/>
      <c r="J46" s="217"/>
      <c r="K46" s="218"/>
      <c r="L46" s="217"/>
      <c r="M46" s="217"/>
      <c r="N46" s="217"/>
      <c r="O46" s="217"/>
      <c r="P46" s="219"/>
    </row>
    <row r="48" spans="1:16" s="157" customFormat="1" ht="27" customHeight="1" thickBot="1" x14ac:dyDescent="0.25">
      <c r="A48" s="158" t="s">
        <v>687</v>
      </c>
      <c r="B48" s="158" t="s">
        <v>687</v>
      </c>
      <c r="M48" s="406" t="s">
        <v>690</v>
      </c>
      <c r="N48" s="406"/>
      <c r="O48" s="406"/>
    </row>
    <row r="49" spans="1:15" s="157" customFormat="1" ht="51.75" thickBot="1" x14ac:dyDescent="0.25">
      <c r="A49" s="225"/>
      <c r="B49" s="225"/>
      <c r="C49" s="229" t="s">
        <v>633</v>
      </c>
      <c r="D49" s="249"/>
      <c r="E49" s="234" t="s">
        <v>749</v>
      </c>
      <c r="F49" s="234" t="s">
        <v>750</v>
      </c>
      <c r="G49" s="234" t="s">
        <v>751</v>
      </c>
      <c r="H49" s="294" t="s">
        <v>747</v>
      </c>
      <c r="I49" s="234" t="s">
        <v>748</v>
      </c>
      <c r="J49" s="234" t="s">
        <v>745</v>
      </c>
      <c r="K49" s="295" t="s">
        <v>641</v>
      </c>
      <c r="M49" s="145"/>
      <c r="N49" s="145" t="s">
        <v>693</v>
      </c>
      <c r="O49" s="145" t="s">
        <v>694</v>
      </c>
    </row>
    <row r="50" spans="1:15" s="157" customFormat="1" x14ac:dyDescent="0.2">
      <c r="A50" s="225"/>
      <c r="B50" s="225"/>
      <c r="C50" s="194" t="s">
        <v>688</v>
      </c>
      <c r="D50" s="195"/>
      <c r="E50" s="226"/>
      <c r="F50" s="226"/>
      <c r="G50" s="226"/>
      <c r="H50" s="226"/>
      <c r="I50" s="226"/>
      <c r="J50" s="227">
        <f>I50-H50</f>
        <v>0</v>
      </c>
      <c r="K50" s="228" t="e">
        <f>(I50-H50)/H50</f>
        <v>#DIV/0!</v>
      </c>
      <c r="M50" s="146" t="s">
        <v>691</v>
      </c>
      <c r="N50" s="146">
        <v>0.5</v>
      </c>
      <c r="O50" s="146"/>
    </row>
    <row r="51" spans="1:15" s="157" customFormat="1" x14ac:dyDescent="0.2">
      <c r="M51" s="146" t="s">
        <v>692</v>
      </c>
      <c r="N51" s="146"/>
      <c r="O51" s="146"/>
    </row>
    <row r="52" spans="1:15" s="157" customFormat="1" x14ac:dyDescent="0.2">
      <c r="M52" s="146" t="s">
        <v>23</v>
      </c>
      <c r="N52" s="146">
        <f>SUM(N50:N51)</f>
        <v>0.5</v>
      </c>
      <c r="O52" s="146">
        <f>SUM(O50:O51)</f>
        <v>0</v>
      </c>
    </row>
    <row r="53" spans="1:15" s="157" customFormat="1" x14ac:dyDescent="0.2"/>
    <row r="54" spans="1:15" s="157" customFormat="1" x14ac:dyDescent="0.2"/>
    <row r="55" spans="1:15" s="157" customFormat="1" x14ac:dyDescent="0.2"/>
  </sheetData>
  <mergeCells count="2">
    <mergeCell ref="L3:N3"/>
    <mergeCell ref="M48:O48"/>
  </mergeCells>
  <pageMargins left="0.25" right="0.25" top="0.17708333300000001" bottom="0.25" header="0.3" footer="0.3"/>
  <pageSetup paperSize="17" scale="60" orientation="landscape" r:id="rId1"/>
  <headerFooter>
    <oddHeader>&amp;C&amp;"Calibri,Bold"&amp;A</oddHeader>
    <oddFooter>&amp;Rprinted:  &amp;D&amp;T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8"/>
  <sheetViews>
    <sheetView showGridLines="0" topLeftCell="A31" zoomScaleNormal="100" workbookViewId="0">
      <selection activeCell="I13" sqref="I13"/>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858</v>
      </c>
      <c r="O1" s="164"/>
    </row>
    <row r="2" spans="1:19" ht="23.25" customHeight="1" thickBot="1" x14ac:dyDescent="0.3">
      <c r="A2" s="290" t="s">
        <v>810</v>
      </c>
      <c r="B2" s="232"/>
      <c r="C2" s="292" t="s">
        <v>859</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51535.36+12722.65+220461.69+17282.46</f>
        <v>302002.16000000003</v>
      </c>
      <c r="F6" s="171">
        <f>51711.66+11947.3+256579.22+23043.28</f>
        <v>343281.45999999996</v>
      </c>
      <c r="G6" s="171">
        <f>50919.14+6120.04+263513.53+10791.56</f>
        <v>331344.27</v>
      </c>
      <c r="H6" s="171">
        <f>SUM('FT Salaries'!E80)</f>
        <v>330108.68879636627</v>
      </c>
      <c r="I6" s="172">
        <f>SUM(H6)</f>
        <v>330108.68879636627</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302002.16000000003</v>
      </c>
      <c r="F8" s="179">
        <f>SUM(F6:F7)</f>
        <v>343281.45999999996</v>
      </c>
      <c r="G8" s="179">
        <f>SUM(G6:G7)</f>
        <v>331344.27</v>
      </c>
      <c r="H8" s="179">
        <f>SUM(H6:H7)</f>
        <v>330108.68879636627</v>
      </c>
      <c r="I8" s="179">
        <f>SUM(I6:I7)</f>
        <v>330108.68879636627</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5"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11994.36</v>
      </c>
      <c r="F12" s="171"/>
      <c r="G12" s="171"/>
      <c r="H12" s="171"/>
      <c r="I12" s="172"/>
      <c r="J12" s="173">
        <f t="shared" si="1"/>
        <v>0</v>
      </c>
      <c r="K12" s="174" t="e">
        <f t="shared" ref="K12:K15" si="2">(I12-H12)/H12</f>
        <v>#DIV/0!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222"/>
      <c r="B15" s="222"/>
      <c r="C15" s="183" t="s">
        <v>704</v>
      </c>
      <c r="D15" s="184"/>
      <c r="E15" s="185">
        <f>SUM(E12:E14)</f>
        <v>11994.36</v>
      </c>
      <c r="F15" s="185">
        <f>SUM(F12:F14)</f>
        <v>0</v>
      </c>
      <c r="G15" s="185">
        <f>SUM(G12:G14)</f>
        <v>0</v>
      </c>
      <c r="H15" s="185">
        <f>SUM(H12:H14)</f>
        <v>0</v>
      </c>
      <c r="I15" s="185">
        <f>SUM(I12:I14)</f>
        <v>0</v>
      </c>
      <c r="J15" s="185">
        <f t="shared" si="1"/>
        <v>0</v>
      </c>
      <c r="K15" s="186" t="e">
        <f t="shared" si="2"/>
        <v>#DIV/0!</v>
      </c>
      <c r="L15" s="185">
        <f>SUM(L12:L14)</f>
        <v>0</v>
      </c>
      <c r="M15" s="185">
        <f>SUM(M12:M14)</f>
        <v>0</v>
      </c>
      <c r="N15" s="185">
        <f>SUM(N12:N14)</f>
        <v>0</v>
      </c>
      <c r="O15" s="185">
        <f>SUM(O12:O14)</f>
        <v>0</v>
      </c>
      <c r="P15" s="187"/>
      <c r="Q15" s="157"/>
      <c r="R15" s="157"/>
      <c r="S15" s="157"/>
    </row>
    <row r="16" spans="1:19" ht="7.5" customHeight="1" thickBot="1" x14ac:dyDescent="0.25">
      <c r="A16" s="188"/>
      <c r="B16" s="188"/>
      <c r="C16" s="189"/>
      <c r="D16" s="190"/>
      <c r="E16" s="189"/>
      <c r="F16" s="189"/>
      <c r="G16" s="189"/>
      <c r="H16" s="189"/>
      <c r="I16" s="191"/>
      <c r="J16" s="191"/>
      <c r="K16" s="191"/>
      <c r="L16" s="191"/>
      <c r="M16" s="191"/>
      <c r="N16" s="191"/>
      <c r="O16" s="191"/>
      <c r="P16" s="192"/>
      <c r="Q16" s="157"/>
      <c r="R16" s="157"/>
      <c r="S16" s="157"/>
    </row>
    <row r="17" spans="1:16" s="157" customFormat="1" ht="51.75" thickBot="1" x14ac:dyDescent="0.25">
      <c r="A17" s="293" t="s">
        <v>811</v>
      </c>
      <c r="B17" s="316" t="s">
        <v>812</v>
      </c>
      <c r="C17" s="229" t="s">
        <v>633</v>
      </c>
      <c r="D17" s="249"/>
      <c r="E17" s="295" t="s">
        <v>749</v>
      </c>
      <c r="F17" s="234" t="s">
        <v>750</v>
      </c>
      <c r="G17" s="234" t="s">
        <v>751</v>
      </c>
      <c r="H17" s="294" t="s">
        <v>747</v>
      </c>
      <c r="I17" s="234" t="s">
        <v>748</v>
      </c>
      <c r="J17" s="234" t="s">
        <v>745</v>
      </c>
      <c r="K17" s="295" t="s">
        <v>641</v>
      </c>
      <c r="L17" s="231" t="s">
        <v>642</v>
      </c>
      <c r="M17" s="231" t="s">
        <v>643</v>
      </c>
      <c r="N17" s="230" t="s">
        <v>644</v>
      </c>
      <c r="O17" s="294" t="s">
        <v>746</v>
      </c>
      <c r="P17" s="168" t="s">
        <v>969</v>
      </c>
    </row>
    <row r="18" spans="1:16" ht="31.5" customHeight="1" x14ac:dyDescent="0.2">
      <c r="A18" s="193" t="s">
        <v>432</v>
      </c>
      <c r="B18" s="318">
        <v>702106</v>
      </c>
      <c r="C18" s="194" t="s">
        <v>431</v>
      </c>
      <c r="D18" s="195"/>
      <c r="E18" s="196">
        <v>696</v>
      </c>
      <c r="F18" s="196">
        <v>1062</v>
      </c>
      <c r="G18" s="196"/>
      <c r="H18" s="196"/>
      <c r="I18" s="196"/>
      <c r="J18" s="197">
        <f t="shared" ref="J18:J44" si="3">I18-H18</f>
        <v>0</v>
      </c>
      <c r="K18" s="198" t="e">
        <f t="shared" ref="K18:K44" si="4">(I18-H18)/H18</f>
        <v>#DIV/0!</v>
      </c>
      <c r="L18" s="196"/>
      <c r="M18" s="196"/>
      <c r="N18" s="196"/>
      <c r="O18" s="196"/>
      <c r="P18" s="199"/>
    </row>
    <row r="19" spans="1:16" ht="31.5" customHeight="1" x14ac:dyDescent="0.2">
      <c r="A19" s="193" t="s">
        <v>416</v>
      </c>
      <c r="B19" s="318">
        <v>702200</v>
      </c>
      <c r="C19" s="194" t="s">
        <v>11</v>
      </c>
      <c r="D19" s="195"/>
      <c r="E19" s="196">
        <v>13395.49</v>
      </c>
      <c r="F19" s="196">
        <v>20549.45</v>
      </c>
      <c r="G19" s="196">
        <v>13880.6</v>
      </c>
      <c r="H19" s="196">
        <v>13999</v>
      </c>
      <c r="I19" s="196">
        <v>21000</v>
      </c>
      <c r="J19" s="197">
        <f t="shared" si="3"/>
        <v>7001</v>
      </c>
      <c r="K19" s="198">
        <f t="shared" si="4"/>
        <v>0.50010715051075072</v>
      </c>
      <c r="L19" s="196"/>
      <c r="M19" s="196"/>
      <c r="N19" s="196"/>
      <c r="O19" s="196">
        <v>3714</v>
      </c>
      <c r="P19" s="199"/>
    </row>
    <row r="20" spans="1:16" ht="31.5" customHeight="1" x14ac:dyDescent="0.2">
      <c r="A20" s="193" t="s">
        <v>391</v>
      </c>
      <c r="B20" s="319">
        <v>701302</v>
      </c>
      <c r="C20" s="194" t="s">
        <v>390</v>
      </c>
      <c r="D20" s="195"/>
      <c r="E20" s="196"/>
      <c r="F20" s="196"/>
      <c r="G20" s="196">
        <v>350</v>
      </c>
      <c r="H20" s="196"/>
      <c r="I20" s="196"/>
      <c r="J20" s="197">
        <f t="shared" si="3"/>
        <v>0</v>
      </c>
      <c r="K20" s="198" t="e">
        <f t="shared" si="4"/>
        <v>#DIV/0!</v>
      </c>
      <c r="L20" s="196"/>
      <c r="M20" s="196"/>
      <c r="N20" s="196"/>
      <c r="O20" s="196"/>
      <c r="P20" s="199"/>
    </row>
    <row r="21" spans="1:16" ht="31.5" customHeight="1" x14ac:dyDescent="0.2">
      <c r="A21" s="193" t="s">
        <v>387</v>
      </c>
      <c r="B21" s="318">
        <v>701406</v>
      </c>
      <c r="C21" s="194" t="s">
        <v>386</v>
      </c>
      <c r="D21" s="195"/>
      <c r="E21" s="196">
        <v>24420</v>
      </c>
      <c r="F21" s="196">
        <v>23899</v>
      </c>
      <c r="G21" s="196">
        <v>25650</v>
      </c>
      <c r="H21" s="196">
        <v>24729</v>
      </c>
      <c r="I21" s="196">
        <v>25000</v>
      </c>
      <c r="J21" s="197">
        <f t="shared" ref="J21:J25" si="5">I21-H21</f>
        <v>271</v>
      </c>
      <c r="K21" s="198">
        <f t="shared" ref="K21:K25" si="6">(I21-H21)/H21</f>
        <v>1.0958793319584294E-2</v>
      </c>
      <c r="L21" s="196"/>
      <c r="M21" s="196"/>
      <c r="N21" s="196"/>
      <c r="O21" s="196"/>
      <c r="P21" s="199"/>
    </row>
    <row r="22" spans="1:16" ht="31.5" customHeight="1" x14ac:dyDescent="0.2">
      <c r="A22" s="193" t="s">
        <v>377</v>
      </c>
      <c r="B22" s="318">
        <v>701500</v>
      </c>
      <c r="C22" s="194" t="s">
        <v>376</v>
      </c>
      <c r="D22" s="195"/>
      <c r="E22" s="196">
        <v>0</v>
      </c>
      <c r="F22" s="196">
        <v>160</v>
      </c>
      <c r="G22" s="196">
        <v>0</v>
      </c>
      <c r="H22" s="196"/>
      <c r="I22" s="196">
        <v>800</v>
      </c>
      <c r="J22" s="197">
        <f t="shared" si="5"/>
        <v>800</v>
      </c>
      <c r="K22" s="198" t="e">
        <f t="shared" si="6"/>
        <v>#DIV/0!</v>
      </c>
      <c r="L22" s="196"/>
      <c r="M22" s="196"/>
      <c r="N22" s="196"/>
      <c r="O22" s="196">
        <v>800</v>
      </c>
      <c r="P22" s="199"/>
    </row>
    <row r="23" spans="1:16" ht="31.5" customHeight="1" x14ac:dyDescent="0.2">
      <c r="A23" s="193" t="s">
        <v>375</v>
      </c>
      <c r="B23" s="318">
        <v>701501</v>
      </c>
      <c r="C23" s="194" t="s">
        <v>374</v>
      </c>
      <c r="D23" s="195"/>
      <c r="E23" s="196">
        <v>995</v>
      </c>
      <c r="F23" s="196">
        <v>1175</v>
      </c>
      <c r="G23" s="196">
        <v>1395</v>
      </c>
      <c r="H23" s="196">
        <v>1395</v>
      </c>
      <c r="I23" s="196">
        <f>1395+360</f>
        <v>1755</v>
      </c>
      <c r="J23" s="197">
        <f t="shared" si="5"/>
        <v>360</v>
      </c>
      <c r="K23" s="198">
        <f t="shared" si="6"/>
        <v>0.25806451612903225</v>
      </c>
      <c r="L23" s="196"/>
      <c r="M23" s="196"/>
      <c r="N23" s="196"/>
      <c r="O23" s="196"/>
      <c r="P23" s="199" t="s">
        <v>1055</v>
      </c>
    </row>
    <row r="24" spans="1:16" ht="31.5" customHeight="1" x14ac:dyDescent="0.2">
      <c r="A24" s="193">
        <v>723130</v>
      </c>
      <c r="B24" s="318">
        <v>701603</v>
      </c>
      <c r="C24" s="194" t="s">
        <v>362</v>
      </c>
      <c r="D24" s="195"/>
      <c r="E24" s="196"/>
      <c r="F24" s="196"/>
      <c r="G24" s="196"/>
      <c r="H24" s="196">
        <v>650</v>
      </c>
      <c r="I24" s="196">
        <v>650</v>
      </c>
      <c r="J24" s="197"/>
      <c r="K24" s="198"/>
      <c r="L24" s="196"/>
      <c r="M24" s="196"/>
      <c r="N24" s="196"/>
      <c r="O24" s="196"/>
      <c r="P24" s="199"/>
    </row>
    <row r="25" spans="1:16" ht="31.5" customHeight="1" x14ac:dyDescent="0.2">
      <c r="A25" s="193" t="s">
        <v>361</v>
      </c>
      <c r="B25" s="318">
        <v>705001</v>
      </c>
      <c r="C25" s="194" t="s">
        <v>360</v>
      </c>
      <c r="D25" s="195"/>
      <c r="E25" s="196">
        <v>1827.18</v>
      </c>
      <c r="F25" s="196">
        <v>1385.81</v>
      </c>
      <c r="G25" s="196">
        <v>7898.96</v>
      </c>
      <c r="H25" s="196">
        <v>2544</v>
      </c>
      <c r="I25" s="196">
        <v>2600</v>
      </c>
      <c r="J25" s="197">
        <f t="shared" si="5"/>
        <v>56</v>
      </c>
      <c r="K25" s="198">
        <f t="shared" si="6"/>
        <v>2.20125786163522E-2</v>
      </c>
      <c r="L25" s="196"/>
      <c r="M25" s="196"/>
      <c r="N25" s="196"/>
      <c r="O25" s="196"/>
      <c r="P25" s="199"/>
    </row>
    <row r="26" spans="1:16" ht="31.5" customHeight="1" x14ac:dyDescent="0.2">
      <c r="A26" s="193" t="s">
        <v>359</v>
      </c>
      <c r="B26" s="318">
        <v>705101</v>
      </c>
      <c r="C26" s="194" t="s">
        <v>358</v>
      </c>
      <c r="D26" s="195"/>
      <c r="E26" s="196">
        <v>68375.78</v>
      </c>
      <c r="F26" s="196">
        <v>72823.509999999995</v>
      </c>
      <c r="G26" s="196">
        <v>74118.100000000006</v>
      </c>
      <c r="H26" s="196">
        <v>68370</v>
      </c>
      <c r="I26" s="196">
        <v>73000</v>
      </c>
      <c r="J26" s="197">
        <f t="shared" si="3"/>
        <v>4630</v>
      </c>
      <c r="K26" s="198">
        <f t="shared" si="4"/>
        <v>6.771976012871142E-2</v>
      </c>
      <c r="L26" s="196"/>
      <c r="M26" s="196"/>
      <c r="N26" s="196"/>
      <c r="O26" s="196"/>
      <c r="P26" s="199"/>
    </row>
    <row r="27" spans="1:16" ht="31.5" customHeight="1" x14ac:dyDescent="0.2">
      <c r="A27" s="193" t="s">
        <v>357</v>
      </c>
      <c r="B27" s="318">
        <v>705002</v>
      </c>
      <c r="C27" s="194" t="s">
        <v>356</v>
      </c>
      <c r="D27" s="195"/>
      <c r="E27" s="196">
        <v>1983.3600000000001</v>
      </c>
      <c r="F27" s="196">
        <v>2391.1</v>
      </c>
      <c r="G27" s="196">
        <v>2568.4500000000003</v>
      </c>
      <c r="H27" s="196">
        <v>3189</v>
      </c>
      <c r="I27" s="196"/>
      <c r="J27" s="197">
        <f t="shared" si="3"/>
        <v>-3189</v>
      </c>
      <c r="K27" s="198">
        <f t="shared" si="4"/>
        <v>-1</v>
      </c>
      <c r="L27" s="196">
        <v>7500</v>
      </c>
      <c r="M27" s="196"/>
      <c r="N27" s="196"/>
      <c r="O27" s="196"/>
      <c r="P27" s="199" t="s">
        <v>1001</v>
      </c>
    </row>
    <row r="28" spans="1:16" ht="31.5" customHeight="1" x14ac:dyDescent="0.2">
      <c r="A28" s="193" t="s">
        <v>355</v>
      </c>
      <c r="B28" s="318">
        <v>705102</v>
      </c>
      <c r="C28" s="194" t="s">
        <v>354</v>
      </c>
      <c r="D28" s="195"/>
      <c r="E28" s="196">
        <v>22974.25</v>
      </c>
      <c r="F28" s="196">
        <v>23944.16</v>
      </c>
      <c r="G28" s="196">
        <v>18520.3</v>
      </c>
      <c r="H28" s="196">
        <v>27000</v>
      </c>
      <c r="I28" s="196"/>
      <c r="J28" s="197">
        <f t="shared" si="3"/>
        <v>-27000</v>
      </c>
      <c r="K28" s="198">
        <f t="shared" si="4"/>
        <v>-1</v>
      </c>
      <c r="L28" s="196">
        <v>22500</v>
      </c>
      <c r="M28" s="196"/>
      <c r="N28" s="196"/>
      <c r="O28" s="196"/>
      <c r="P28" s="199" t="s">
        <v>1001</v>
      </c>
    </row>
    <row r="29" spans="1:16" ht="31.5" customHeight="1" x14ac:dyDescent="0.2">
      <c r="A29" s="193">
        <v>732100</v>
      </c>
      <c r="B29" s="318">
        <v>705000</v>
      </c>
      <c r="C29" s="194" t="s">
        <v>350</v>
      </c>
      <c r="D29" s="195"/>
      <c r="E29" s="196"/>
      <c r="F29" s="196"/>
      <c r="G29" s="196"/>
      <c r="H29" s="196">
        <v>99</v>
      </c>
      <c r="I29" s="196"/>
      <c r="J29" s="197">
        <f t="shared" si="3"/>
        <v>-99</v>
      </c>
      <c r="K29" s="198">
        <f t="shared" si="4"/>
        <v>-1</v>
      </c>
      <c r="L29" s="196"/>
      <c r="M29" s="196"/>
      <c r="N29" s="196"/>
      <c r="O29" s="196"/>
      <c r="P29" s="199"/>
    </row>
    <row r="30" spans="1:16" ht="31.5" customHeight="1" x14ac:dyDescent="0.2">
      <c r="A30" s="193" t="s">
        <v>349</v>
      </c>
      <c r="B30" s="318">
        <v>705100</v>
      </c>
      <c r="C30" s="194" t="s">
        <v>348</v>
      </c>
      <c r="D30" s="195"/>
      <c r="E30" s="196">
        <v>568.20000000000005</v>
      </c>
      <c r="F30" s="196">
        <v>151.20000000000002</v>
      </c>
      <c r="G30" s="196">
        <v>1258.8800000000001</v>
      </c>
      <c r="H30" s="196"/>
      <c r="I30" s="196"/>
      <c r="J30" s="197">
        <f t="shared" si="3"/>
        <v>0</v>
      </c>
      <c r="K30" s="198" t="e">
        <f t="shared" si="4"/>
        <v>#DIV/0!</v>
      </c>
      <c r="L30" s="196"/>
      <c r="M30" s="196"/>
      <c r="N30" s="196"/>
      <c r="O30" s="196"/>
      <c r="P30" s="199"/>
    </row>
    <row r="31" spans="1:16" ht="31.5" customHeight="1" x14ac:dyDescent="0.2">
      <c r="A31" s="193" t="s">
        <v>345</v>
      </c>
      <c r="B31" s="318">
        <v>705500</v>
      </c>
      <c r="C31" s="194" t="s">
        <v>344</v>
      </c>
      <c r="D31" s="195"/>
      <c r="E31" s="196">
        <v>5662.77</v>
      </c>
      <c r="F31" s="196">
        <v>7031.1</v>
      </c>
      <c r="G31" s="196">
        <v>8344.59</v>
      </c>
      <c r="H31" s="196">
        <v>8821</v>
      </c>
      <c r="I31" s="196">
        <v>8821</v>
      </c>
      <c r="J31" s="197">
        <f t="shared" si="3"/>
        <v>0</v>
      </c>
      <c r="K31" s="198">
        <f t="shared" si="4"/>
        <v>0</v>
      </c>
      <c r="L31" s="196"/>
      <c r="M31" s="196"/>
      <c r="N31" s="196"/>
      <c r="O31" s="196"/>
      <c r="P31" s="199"/>
    </row>
    <row r="32" spans="1:16" ht="31.5" customHeight="1" x14ac:dyDescent="0.2">
      <c r="A32" s="193" t="s">
        <v>276</v>
      </c>
      <c r="B32" s="319">
        <v>706605</v>
      </c>
      <c r="C32" s="194" t="s">
        <v>275</v>
      </c>
      <c r="D32" s="195"/>
      <c r="E32" s="196">
        <v>649.12</v>
      </c>
      <c r="F32" s="196">
        <v>650.88</v>
      </c>
      <c r="G32" s="196">
        <v>54.17</v>
      </c>
      <c r="H32" s="196"/>
      <c r="I32" s="196"/>
      <c r="J32" s="197">
        <f t="shared" si="3"/>
        <v>0</v>
      </c>
      <c r="K32" s="198" t="e">
        <f t="shared" si="4"/>
        <v>#DIV/0!</v>
      </c>
      <c r="L32" s="196"/>
      <c r="M32" s="196"/>
      <c r="N32" s="196"/>
      <c r="O32" s="196"/>
      <c r="P32" s="199"/>
    </row>
    <row r="33" spans="1:16" ht="31.5" customHeight="1" x14ac:dyDescent="0.2">
      <c r="A33" s="193" t="s">
        <v>258</v>
      </c>
      <c r="B33" s="318">
        <v>707101</v>
      </c>
      <c r="C33" s="194" t="s">
        <v>257</v>
      </c>
      <c r="D33" s="195"/>
      <c r="E33" s="196">
        <v>5750</v>
      </c>
      <c r="F33" s="196">
        <v>5750</v>
      </c>
      <c r="G33" s="196">
        <v>6345.83</v>
      </c>
      <c r="H33" s="196">
        <v>6554</v>
      </c>
      <c r="I33" s="196">
        <v>6554</v>
      </c>
      <c r="J33" s="197">
        <f t="shared" si="3"/>
        <v>0</v>
      </c>
      <c r="K33" s="198">
        <f t="shared" si="4"/>
        <v>0</v>
      </c>
      <c r="L33" s="196"/>
      <c r="M33" s="196"/>
      <c r="N33" s="196"/>
      <c r="O33" s="196"/>
      <c r="P33" s="199"/>
    </row>
    <row r="34" spans="1:16" ht="31.5" customHeight="1" x14ac:dyDescent="0.2">
      <c r="A34" s="193" t="s">
        <v>244</v>
      </c>
      <c r="B34" s="318">
        <v>707001</v>
      </c>
      <c r="C34" s="194" t="s">
        <v>243</v>
      </c>
      <c r="D34" s="195"/>
      <c r="E34" s="196">
        <v>-75</v>
      </c>
      <c r="F34" s="196">
        <v>-150</v>
      </c>
      <c r="G34" s="196">
        <v>-4</v>
      </c>
      <c r="H34" s="196"/>
      <c r="I34" s="196"/>
      <c r="J34" s="197">
        <f t="shared" si="3"/>
        <v>0</v>
      </c>
      <c r="K34" s="198" t="e">
        <f t="shared" si="4"/>
        <v>#DIV/0!</v>
      </c>
      <c r="L34" s="196"/>
      <c r="M34" s="196"/>
      <c r="N34" s="196"/>
      <c r="O34" s="196"/>
      <c r="P34" s="199"/>
    </row>
    <row r="35" spans="1:16" ht="31.5" customHeight="1" x14ac:dyDescent="0.2">
      <c r="A35" s="193" t="s">
        <v>232</v>
      </c>
      <c r="B35" s="318">
        <v>707152</v>
      </c>
      <c r="C35" s="194" t="s">
        <v>231</v>
      </c>
      <c r="D35" s="195"/>
      <c r="E35" s="196">
        <v>1424.34</v>
      </c>
      <c r="F35" s="196">
        <v>1799.69</v>
      </c>
      <c r="G35" s="196">
        <v>1719.91</v>
      </c>
      <c r="H35" s="196">
        <f>100*12</f>
        <v>1200</v>
      </c>
      <c r="I35" s="196">
        <v>1200</v>
      </c>
      <c r="J35" s="197">
        <f t="shared" si="3"/>
        <v>0</v>
      </c>
      <c r="K35" s="198">
        <f t="shared" si="4"/>
        <v>0</v>
      </c>
      <c r="L35" s="196"/>
      <c r="M35" s="196"/>
      <c r="N35" s="196"/>
      <c r="O35" s="196"/>
      <c r="P35" s="199"/>
    </row>
    <row r="36" spans="1:16" ht="31.5" customHeight="1" x14ac:dyDescent="0.2">
      <c r="A36" s="193" t="s">
        <v>230</v>
      </c>
      <c r="B36" s="318">
        <v>707151</v>
      </c>
      <c r="C36" s="194" t="s">
        <v>15</v>
      </c>
      <c r="D36" s="195"/>
      <c r="E36" s="196">
        <v>383.2</v>
      </c>
      <c r="F36" s="196">
        <v>365.79</v>
      </c>
      <c r="G36" s="196">
        <v>360</v>
      </c>
      <c r="H36" s="196">
        <f>30*12</f>
        <v>360</v>
      </c>
      <c r="I36" s="196">
        <v>360</v>
      </c>
      <c r="J36" s="197">
        <f t="shared" si="3"/>
        <v>0</v>
      </c>
      <c r="K36" s="198">
        <f t="shared" si="4"/>
        <v>0</v>
      </c>
      <c r="L36" s="196"/>
      <c r="M36" s="196"/>
      <c r="N36" s="196"/>
      <c r="O36" s="196"/>
      <c r="P36" s="199"/>
    </row>
    <row r="37" spans="1:16" ht="31.5" customHeight="1" x14ac:dyDescent="0.2">
      <c r="A37" s="193" t="s">
        <v>229</v>
      </c>
      <c r="B37" s="318">
        <v>707151</v>
      </c>
      <c r="C37" s="194" t="s">
        <v>16</v>
      </c>
      <c r="D37" s="195"/>
      <c r="E37" s="196">
        <v>25.2</v>
      </c>
      <c r="F37" s="196">
        <v>15.280000000000001</v>
      </c>
      <c r="G37" s="196">
        <v>10.16</v>
      </c>
      <c r="H37" s="196">
        <v>15</v>
      </c>
      <c r="I37" s="196">
        <v>15</v>
      </c>
      <c r="J37" s="197">
        <f t="shared" si="3"/>
        <v>0</v>
      </c>
      <c r="K37" s="198">
        <f t="shared" si="4"/>
        <v>0</v>
      </c>
      <c r="L37" s="196"/>
      <c r="M37" s="196"/>
      <c r="N37" s="196"/>
      <c r="O37" s="196"/>
      <c r="P37" s="199"/>
    </row>
    <row r="38" spans="1:16" ht="31.5" customHeight="1" x14ac:dyDescent="0.2">
      <c r="A38" s="193" t="s">
        <v>203</v>
      </c>
      <c r="B38" s="318">
        <v>707301</v>
      </c>
      <c r="C38" s="194" t="s">
        <v>18</v>
      </c>
      <c r="D38" s="195"/>
      <c r="E38" s="196">
        <v>6423.1900000000005</v>
      </c>
      <c r="F38" s="196">
        <v>5652.7</v>
      </c>
      <c r="G38" s="196">
        <v>2571.2600000000002</v>
      </c>
      <c r="H38" s="196">
        <v>8640</v>
      </c>
      <c r="I38" s="196">
        <v>8700</v>
      </c>
      <c r="J38" s="197">
        <f t="shared" si="3"/>
        <v>60</v>
      </c>
      <c r="K38" s="198">
        <f t="shared" si="4"/>
        <v>6.9444444444444441E-3</v>
      </c>
      <c r="L38" s="196"/>
      <c r="M38" s="196"/>
      <c r="N38" s="196"/>
      <c r="O38" s="196"/>
      <c r="P38" s="199"/>
    </row>
    <row r="39" spans="1:16" ht="31.5" customHeight="1" x14ac:dyDescent="0.2">
      <c r="A39" s="193" t="s">
        <v>198</v>
      </c>
      <c r="B39" s="318">
        <v>707304</v>
      </c>
      <c r="C39" s="194" t="s">
        <v>197</v>
      </c>
      <c r="D39" s="195"/>
      <c r="E39" s="196">
        <v>473.58</v>
      </c>
      <c r="F39" s="196">
        <v>0</v>
      </c>
      <c r="G39" s="196"/>
      <c r="H39" s="196"/>
      <c r="I39" s="196"/>
      <c r="J39" s="197">
        <f t="shared" si="3"/>
        <v>0</v>
      </c>
      <c r="K39" s="198" t="e">
        <f t="shared" si="4"/>
        <v>#DIV/0!</v>
      </c>
      <c r="L39" s="196"/>
      <c r="M39" s="196"/>
      <c r="N39" s="196"/>
      <c r="O39" s="196"/>
      <c r="P39" s="199"/>
    </row>
    <row r="40" spans="1:16" ht="31.5" customHeight="1" x14ac:dyDescent="0.2">
      <c r="A40" s="193" t="s">
        <v>183</v>
      </c>
      <c r="B40" s="318">
        <v>707403</v>
      </c>
      <c r="C40" s="194" t="s">
        <v>182</v>
      </c>
      <c r="D40" s="195"/>
      <c r="E40" s="196">
        <v>22.86</v>
      </c>
      <c r="F40" s="196"/>
      <c r="G40" s="196"/>
      <c r="H40" s="196"/>
      <c r="I40" s="196"/>
      <c r="J40" s="197">
        <f t="shared" si="3"/>
        <v>0</v>
      </c>
      <c r="K40" s="198" t="e">
        <f t="shared" si="4"/>
        <v>#DIV/0!</v>
      </c>
      <c r="L40" s="196"/>
      <c r="M40" s="196"/>
      <c r="N40" s="196"/>
      <c r="O40" s="196"/>
      <c r="P40" s="199"/>
    </row>
    <row r="41" spans="1:16" ht="31.5" customHeight="1" x14ac:dyDescent="0.2">
      <c r="A41" s="193" t="s">
        <v>177</v>
      </c>
      <c r="B41" s="318">
        <v>707505</v>
      </c>
      <c r="C41" s="194" t="s">
        <v>176</v>
      </c>
      <c r="D41" s="195"/>
      <c r="E41" s="196">
        <v>-14.36</v>
      </c>
      <c r="F41" s="196">
        <v>-10</v>
      </c>
      <c r="G41" s="196">
        <v>130.85</v>
      </c>
      <c r="H41" s="196"/>
      <c r="I41" s="196"/>
      <c r="J41" s="197">
        <f t="shared" si="3"/>
        <v>0</v>
      </c>
      <c r="K41" s="198" t="e">
        <f t="shared" si="4"/>
        <v>#DIV/0!</v>
      </c>
      <c r="L41" s="196"/>
      <c r="M41" s="196"/>
      <c r="N41" s="196"/>
      <c r="O41" s="196"/>
      <c r="P41" s="199"/>
    </row>
    <row r="42" spans="1:16" ht="31.5" customHeight="1" x14ac:dyDescent="0.2">
      <c r="A42" s="193"/>
      <c r="B42" s="193"/>
      <c r="C42" s="194"/>
      <c r="D42" s="195"/>
      <c r="E42" s="196"/>
      <c r="F42" s="196"/>
      <c r="G42" s="196"/>
      <c r="H42" s="196"/>
      <c r="I42" s="196"/>
      <c r="J42" s="197">
        <f t="shared" si="3"/>
        <v>0</v>
      </c>
      <c r="K42" s="198" t="e">
        <f t="shared" si="4"/>
        <v>#DIV/0!</v>
      </c>
      <c r="L42" s="196"/>
      <c r="M42" s="196"/>
      <c r="N42" s="196"/>
      <c r="O42" s="196"/>
      <c r="P42" s="199"/>
    </row>
    <row r="43" spans="1:16" ht="31.5" customHeight="1" x14ac:dyDescent="0.2">
      <c r="A43" s="193"/>
      <c r="B43" s="193"/>
      <c r="C43" s="194"/>
      <c r="D43" s="195"/>
      <c r="E43" s="196"/>
      <c r="F43" s="196"/>
      <c r="G43" s="196"/>
      <c r="H43" s="196"/>
      <c r="I43" s="196"/>
      <c r="J43" s="197">
        <f t="shared" si="3"/>
        <v>0</v>
      </c>
      <c r="K43" s="198" t="e">
        <f t="shared" si="4"/>
        <v>#DIV/0!</v>
      </c>
      <c r="L43" s="196"/>
      <c r="M43" s="196"/>
      <c r="N43" s="196"/>
      <c r="O43" s="196"/>
      <c r="P43" s="199"/>
    </row>
    <row r="44" spans="1:16" ht="13.5" thickBot="1" x14ac:dyDescent="0.25">
      <c r="A44" s="200"/>
      <c r="B44" s="200"/>
      <c r="C44" s="177" t="s">
        <v>22</v>
      </c>
      <c r="D44" s="201"/>
      <c r="E44" s="180">
        <f>SUM(E18:E43)</f>
        <v>155960.16</v>
      </c>
      <c r="F44" s="180">
        <f>SUM(F18:F43)</f>
        <v>168646.67000000004</v>
      </c>
      <c r="G44" s="180">
        <f>SUM(G18:G43)</f>
        <v>165173.06000000003</v>
      </c>
      <c r="H44" s="180">
        <f>SUM(H18:H43)</f>
        <v>167565</v>
      </c>
      <c r="I44" s="180">
        <f>SUM(I18:I43)</f>
        <v>150455</v>
      </c>
      <c r="J44" s="180">
        <f t="shared" si="3"/>
        <v>-17110</v>
      </c>
      <c r="K44" s="181">
        <f t="shared" si="4"/>
        <v>-0.10210962909915555</v>
      </c>
      <c r="L44" s="180">
        <f>SUM(L18:L43)</f>
        <v>30000</v>
      </c>
      <c r="M44" s="180">
        <f>SUM(M18:M43)</f>
        <v>0</v>
      </c>
      <c r="N44" s="180">
        <f>SUM(N18:N43)</f>
        <v>0</v>
      </c>
      <c r="O44" s="180">
        <f>SUM(O18:O43)</f>
        <v>4514</v>
      </c>
      <c r="P44" s="202"/>
    </row>
    <row r="45" spans="1:16" ht="13.5" thickBot="1" x14ac:dyDescent="0.25">
      <c r="A45" s="203"/>
      <c r="B45" s="203"/>
      <c r="C45" s="204" t="s">
        <v>702</v>
      </c>
      <c r="D45" s="205"/>
      <c r="E45" s="206">
        <f>E15+E44</f>
        <v>167954.52000000002</v>
      </c>
      <c r="F45" s="206">
        <f>F15+F44</f>
        <v>168646.67000000004</v>
      </c>
      <c r="G45" s="206">
        <f>G15+G44</f>
        <v>165173.06000000003</v>
      </c>
      <c r="H45" s="206">
        <f>H15+H44</f>
        <v>167565</v>
      </c>
      <c r="I45" s="206">
        <f>I15+I44</f>
        <v>150455</v>
      </c>
      <c r="J45" s="206">
        <f>I45-H45</f>
        <v>-17110</v>
      </c>
      <c r="K45" s="207">
        <f>(I45-H45)/H45</f>
        <v>-0.10210962909915555</v>
      </c>
      <c r="L45" s="206">
        <f>L15+L44</f>
        <v>30000</v>
      </c>
      <c r="M45" s="206">
        <f>M15+M44</f>
        <v>0</v>
      </c>
      <c r="N45" s="206">
        <f>N15+N44</f>
        <v>0</v>
      </c>
      <c r="O45" s="206">
        <f>O15+O44</f>
        <v>4514</v>
      </c>
      <c r="P45" s="208"/>
    </row>
    <row r="46" spans="1:16" x14ac:dyDescent="0.2">
      <c r="A46" s="203"/>
      <c r="B46" s="203"/>
      <c r="C46" s="209" t="s">
        <v>698</v>
      </c>
      <c r="D46" s="210"/>
      <c r="E46" s="211"/>
      <c r="F46" s="211"/>
      <c r="G46" s="211"/>
      <c r="H46" s="212">
        <v>0</v>
      </c>
      <c r="I46" s="213"/>
      <c r="J46" s="213"/>
      <c r="K46" s="214"/>
      <c r="L46" s="213"/>
      <c r="M46" s="213"/>
      <c r="N46" s="213"/>
      <c r="O46" s="213"/>
      <c r="P46" s="215"/>
    </row>
    <row r="47" spans="1:16" x14ac:dyDescent="0.2">
      <c r="A47" s="203"/>
      <c r="B47" s="203"/>
      <c r="C47" s="183" t="s">
        <v>699</v>
      </c>
      <c r="D47" s="184"/>
      <c r="E47" s="216"/>
      <c r="F47" s="216"/>
      <c r="G47" s="216"/>
      <c r="H47" s="185">
        <f>136662</f>
        <v>136662</v>
      </c>
      <c r="I47" s="217"/>
      <c r="J47" s="217"/>
      <c r="K47" s="218"/>
      <c r="L47" s="217"/>
      <c r="M47" s="217"/>
      <c r="N47" s="217"/>
      <c r="O47" s="217"/>
      <c r="P47" s="219"/>
    </row>
    <row r="48" spans="1:16" x14ac:dyDescent="0.2">
      <c r="A48" s="203"/>
      <c r="B48" s="203"/>
      <c r="C48" s="183" t="s">
        <v>700</v>
      </c>
      <c r="D48" s="184"/>
      <c r="E48" s="216"/>
      <c r="F48" s="216"/>
      <c r="G48" s="216"/>
      <c r="H48" s="220">
        <f>H46-H10</f>
        <v>0</v>
      </c>
      <c r="I48" s="217"/>
      <c r="J48" s="217"/>
      <c r="K48" s="218"/>
      <c r="L48" s="217"/>
      <c r="M48" s="217"/>
      <c r="N48" s="217"/>
      <c r="O48" s="217"/>
      <c r="P48" s="219"/>
    </row>
    <row r="49" spans="1:16" x14ac:dyDescent="0.2">
      <c r="A49" s="221"/>
      <c r="B49" s="221"/>
      <c r="C49" s="183" t="s">
        <v>701</v>
      </c>
      <c r="D49" s="184"/>
      <c r="E49" s="217"/>
      <c r="F49" s="217"/>
      <c r="G49" s="217"/>
      <c r="H49" s="220">
        <f>H47-H45</f>
        <v>-30903</v>
      </c>
      <c r="I49" s="217"/>
      <c r="J49" s="217"/>
      <c r="K49" s="218"/>
      <c r="L49" s="217"/>
      <c r="M49" s="217"/>
      <c r="N49" s="217"/>
      <c r="O49" s="217"/>
      <c r="P49" s="219"/>
    </row>
    <row r="51" spans="1:16" s="157" customFormat="1" ht="27" customHeight="1" thickBot="1" x14ac:dyDescent="0.25">
      <c r="A51" s="158" t="s">
        <v>687</v>
      </c>
      <c r="B51" s="158" t="s">
        <v>687</v>
      </c>
      <c r="M51" s="406" t="s">
        <v>690</v>
      </c>
      <c r="N51" s="406"/>
      <c r="O51" s="406"/>
    </row>
    <row r="52" spans="1:16" s="157" customFormat="1" ht="51.75" thickBot="1" x14ac:dyDescent="0.25">
      <c r="A52" s="225"/>
      <c r="B52" s="225"/>
      <c r="C52" s="229" t="s">
        <v>633</v>
      </c>
      <c r="D52" s="249"/>
      <c r="E52" s="234" t="s">
        <v>749</v>
      </c>
      <c r="F52" s="234" t="s">
        <v>750</v>
      </c>
      <c r="G52" s="234" t="s">
        <v>751</v>
      </c>
      <c r="H52" s="294" t="s">
        <v>747</v>
      </c>
      <c r="I52" s="234" t="s">
        <v>748</v>
      </c>
      <c r="J52" s="234" t="s">
        <v>745</v>
      </c>
      <c r="K52" s="295" t="s">
        <v>641</v>
      </c>
      <c r="M52" s="145"/>
      <c r="N52" s="145" t="s">
        <v>693</v>
      </c>
      <c r="O52" s="145" t="s">
        <v>694</v>
      </c>
    </row>
    <row r="53" spans="1:16" s="157" customFormat="1" x14ac:dyDescent="0.2">
      <c r="A53" s="225"/>
      <c r="B53" s="225"/>
      <c r="C53" s="194" t="s">
        <v>1041</v>
      </c>
      <c r="D53" s="336"/>
      <c r="E53" s="226"/>
      <c r="F53" s="226"/>
      <c r="G53" s="226"/>
      <c r="H53" s="226">
        <v>20000</v>
      </c>
      <c r="I53" s="226">
        <v>25000</v>
      </c>
      <c r="J53" s="227">
        <f>I53-H53</f>
        <v>5000</v>
      </c>
      <c r="K53" s="228">
        <f>(I53-H53)/H53</f>
        <v>0.25</v>
      </c>
      <c r="M53" s="146" t="s">
        <v>691</v>
      </c>
      <c r="N53" s="146">
        <v>4</v>
      </c>
      <c r="O53" s="146">
        <v>0</v>
      </c>
    </row>
    <row r="54" spans="1:16" s="157" customFormat="1" x14ac:dyDescent="0.2">
      <c r="M54" s="146" t="s">
        <v>692</v>
      </c>
      <c r="N54" s="146"/>
      <c r="O54" s="146"/>
    </row>
    <row r="55" spans="1:16" s="157" customFormat="1" x14ac:dyDescent="0.2">
      <c r="M55" s="146" t="s">
        <v>23</v>
      </c>
      <c r="N55" s="146">
        <f>SUM(N53:N54)</f>
        <v>4</v>
      </c>
      <c r="O55" s="146">
        <f>SUM(O53:O54)</f>
        <v>0</v>
      </c>
    </row>
    <row r="56" spans="1:16" s="157" customFormat="1" x14ac:dyDescent="0.2"/>
    <row r="57" spans="1:16" s="157" customFormat="1" x14ac:dyDescent="0.2"/>
    <row r="58" spans="1:16" s="157" customFormat="1" x14ac:dyDescent="0.2"/>
  </sheetData>
  <mergeCells count="2">
    <mergeCell ref="L3:N3"/>
    <mergeCell ref="M51:O51"/>
  </mergeCells>
  <pageMargins left="0.25" right="0.25" top="0.42708333300000001" bottom="0.104166667" header="0.3" footer="0.3"/>
  <pageSetup paperSize="17" scale="80" orientation="landscape" r:id="rId1"/>
  <headerFooter>
    <oddHeader>&amp;C&amp;"Calibri,Bold"&amp;A</oddHeader>
    <oddFooter>&amp;Rprinted:  &amp;D&amp;T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8"/>
  <sheetViews>
    <sheetView showGridLines="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860</v>
      </c>
      <c r="O1" s="164"/>
    </row>
    <row r="2" spans="1:19" ht="23.25" customHeight="1" thickBot="1" x14ac:dyDescent="0.3">
      <c r="A2" s="290" t="s">
        <v>810</v>
      </c>
      <c r="B2" s="232"/>
      <c r="C2" s="292" t="s">
        <v>861</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14967.97+10474.1</f>
        <v>25442.07</v>
      </c>
      <c r="F6" s="171">
        <f>16604.52+10507.37</f>
        <v>27111.89</v>
      </c>
      <c r="G6" s="171">
        <f>16589.19+4835.16</f>
        <v>21424.35</v>
      </c>
      <c r="H6" s="171">
        <f>SUM('FT Salaries'!E58)</f>
        <v>26134.720000000001</v>
      </c>
      <c r="I6" s="172">
        <f>SUM(H6)</f>
        <v>26134.720000000001</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25442.07</v>
      </c>
      <c r="F8" s="179">
        <f>SUM(F6:F7)</f>
        <v>27111.89</v>
      </c>
      <c r="G8" s="179">
        <f>SUM(G6:G7)</f>
        <v>21424.35</v>
      </c>
      <c r="H8" s="179">
        <f>SUM(H6:H7)</f>
        <v>26134.720000000001</v>
      </c>
      <c r="I8" s="179">
        <f>SUM(I6:I7)</f>
        <v>26134.720000000001</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4974.72</v>
      </c>
      <c r="F12" s="171">
        <v>5101.2</v>
      </c>
      <c r="G12" s="171">
        <v>5005.26</v>
      </c>
      <c r="H12" s="171">
        <v>2014.32</v>
      </c>
      <c r="I12" s="172">
        <v>2000</v>
      </c>
      <c r="J12" s="173">
        <f t="shared" si="1"/>
        <v>-14.319999999999936</v>
      </c>
      <c r="K12" s="174">
        <f t="shared" ref="K12:K18" si="2">(I12-H12)/H12</f>
        <v>-7.1090988522180872E-3</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4974.72</v>
      </c>
      <c r="F18" s="185">
        <f t="shared" ref="F18:I18" si="3">SUM(F12:F17)</f>
        <v>5101.2</v>
      </c>
      <c r="G18" s="185">
        <f t="shared" si="3"/>
        <v>5005.26</v>
      </c>
      <c r="H18" s="185">
        <f t="shared" si="3"/>
        <v>2014.32</v>
      </c>
      <c r="I18" s="185">
        <f t="shared" si="3"/>
        <v>2000</v>
      </c>
      <c r="J18" s="185">
        <f t="shared" si="1"/>
        <v>-14.319999999999936</v>
      </c>
      <c r="K18" s="186">
        <f t="shared" si="2"/>
        <v>-7.1090988522180872E-3</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1215</v>
      </c>
      <c r="F21" s="196">
        <v>897.6</v>
      </c>
      <c r="G21" s="196">
        <v>1828.5</v>
      </c>
      <c r="H21" s="196">
        <v>1783.6</v>
      </c>
      <c r="I21" s="196">
        <v>1000</v>
      </c>
      <c r="J21" s="197">
        <f t="shared" ref="J21:J34" si="5">I21-H21</f>
        <v>-783.59999999999991</v>
      </c>
      <c r="K21" s="198">
        <f t="shared" ref="K21:K34" si="6">(I21-H21)/H21</f>
        <v>-0.43933617403005154</v>
      </c>
      <c r="L21" s="196"/>
      <c r="M21" s="196"/>
      <c r="N21" s="196"/>
      <c r="O21" s="196"/>
      <c r="P21" s="199"/>
    </row>
    <row r="22" spans="1:19" ht="31.5" customHeight="1" x14ac:dyDescent="0.2">
      <c r="A22" s="193" t="s">
        <v>416</v>
      </c>
      <c r="B22" s="318">
        <v>702200</v>
      </c>
      <c r="C22" s="194" t="s">
        <v>11</v>
      </c>
      <c r="D22" s="195"/>
      <c r="E22" s="196">
        <v>2084</v>
      </c>
      <c r="F22" s="196">
        <v>1891.8700000000001</v>
      </c>
      <c r="G22" s="196">
        <v>1791.5</v>
      </c>
      <c r="H22" s="196">
        <v>2394</v>
      </c>
      <c r="I22" s="196">
        <v>3000</v>
      </c>
      <c r="J22" s="197">
        <f t="shared" si="5"/>
        <v>606</v>
      </c>
      <c r="K22" s="198">
        <f t="shared" si="6"/>
        <v>0.25313283208020049</v>
      </c>
      <c r="L22" s="196"/>
      <c r="M22" s="196"/>
      <c r="N22" s="196"/>
      <c r="O22" s="196">
        <v>181</v>
      </c>
      <c r="P22" s="199"/>
    </row>
    <row r="23" spans="1:19" ht="31.5" customHeight="1" x14ac:dyDescent="0.2">
      <c r="A23" s="193" t="s">
        <v>363</v>
      </c>
      <c r="B23" s="318">
        <v>701603</v>
      </c>
      <c r="C23" s="194" t="s">
        <v>362</v>
      </c>
      <c r="D23" s="195"/>
      <c r="E23" s="196">
        <v>1377</v>
      </c>
      <c r="F23" s="196">
        <v>1879.5</v>
      </c>
      <c r="G23" s="196">
        <v>1781</v>
      </c>
      <c r="H23" s="196">
        <v>1348.37</v>
      </c>
      <c r="I23" s="196">
        <v>1000</v>
      </c>
      <c r="J23" s="197">
        <f t="shared" si="5"/>
        <v>-348.36999999999989</v>
      </c>
      <c r="K23" s="198">
        <f t="shared" si="6"/>
        <v>-0.25836380222045874</v>
      </c>
      <c r="L23" s="196"/>
      <c r="M23" s="196"/>
      <c r="N23" s="196"/>
      <c r="O23" s="196"/>
      <c r="P23" s="199"/>
    </row>
    <row r="24" spans="1:19" ht="31.5" customHeight="1" x14ac:dyDescent="0.2">
      <c r="A24" s="193" t="s">
        <v>359</v>
      </c>
      <c r="B24" s="318">
        <v>705101</v>
      </c>
      <c r="C24" s="194" t="s">
        <v>358</v>
      </c>
      <c r="D24" s="195"/>
      <c r="E24" s="196">
        <v>1776.48</v>
      </c>
      <c r="F24" s="196">
        <v>3974.1</v>
      </c>
      <c r="G24" s="196">
        <v>1443.15</v>
      </c>
      <c r="H24" s="196">
        <v>1068.6199999999999</v>
      </c>
      <c r="I24" s="196">
        <v>1000</v>
      </c>
      <c r="J24" s="197">
        <f t="shared" si="5"/>
        <v>-68.619999999999891</v>
      </c>
      <c r="K24" s="198">
        <f t="shared" si="6"/>
        <v>-6.4213658737436979E-2</v>
      </c>
      <c r="L24" s="196"/>
      <c r="M24" s="196"/>
      <c r="N24" s="196"/>
      <c r="O24" s="196"/>
      <c r="P24" s="199"/>
    </row>
    <row r="25" spans="1:19" ht="31.5" customHeight="1" x14ac:dyDescent="0.2">
      <c r="A25" s="193" t="s">
        <v>357</v>
      </c>
      <c r="B25" s="318">
        <v>705002</v>
      </c>
      <c r="C25" s="194" t="s">
        <v>356</v>
      </c>
      <c r="D25" s="195"/>
      <c r="E25" s="196">
        <v>11.67</v>
      </c>
      <c r="F25" s="196">
        <v>93.5</v>
      </c>
      <c r="G25" s="196">
        <v>128.56</v>
      </c>
      <c r="H25" s="196"/>
      <c r="I25" s="196"/>
      <c r="J25" s="197">
        <f t="shared" si="5"/>
        <v>0</v>
      </c>
      <c r="K25" s="198" t="e">
        <f t="shared" si="6"/>
        <v>#DIV/0!</v>
      </c>
      <c r="L25" s="196">
        <v>200</v>
      </c>
      <c r="M25" s="196"/>
      <c r="N25" s="196"/>
      <c r="O25" s="196"/>
      <c r="P25" s="199" t="s">
        <v>1075</v>
      </c>
    </row>
    <row r="26" spans="1:19" ht="31.5" customHeight="1" x14ac:dyDescent="0.2">
      <c r="A26" s="193" t="s">
        <v>355</v>
      </c>
      <c r="B26" s="318">
        <v>705102</v>
      </c>
      <c r="C26" s="194" t="s">
        <v>354</v>
      </c>
      <c r="D26" s="195"/>
      <c r="E26" s="196">
        <v>22.62</v>
      </c>
      <c r="F26" s="196">
        <v>37.47</v>
      </c>
      <c r="G26" s="196">
        <v>21.93</v>
      </c>
      <c r="H26" s="196"/>
      <c r="I26" s="196"/>
      <c r="J26" s="197">
        <f t="shared" si="5"/>
        <v>0</v>
      </c>
      <c r="K26" s="198" t="e">
        <f t="shared" si="6"/>
        <v>#DIV/0!</v>
      </c>
      <c r="L26" s="196">
        <v>100</v>
      </c>
      <c r="M26" s="196"/>
      <c r="N26" s="196"/>
      <c r="O26" s="196"/>
      <c r="P26" s="199"/>
    </row>
    <row r="27" spans="1:19" ht="31.5" customHeight="1" x14ac:dyDescent="0.2">
      <c r="A27" s="193" t="s">
        <v>349</v>
      </c>
      <c r="B27" s="318">
        <v>705100</v>
      </c>
      <c r="C27" s="194" t="s">
        <v>348</v>
      </c>
      <c r="D27" s="195"/>
      <c r="E27" s="196">
        <v>1070.06</v>
      </c>
      <c r="F27" s="196">
        <v>127.60000000000001</v>
      </c>
      <c r="G27" s="196"/>
      <c r="H27" s="196"/>
      <c r="I27" s="196"/>
      <c r="J27" s="197">
        <f t="shared" si="5"/>
        <v>0</v>
      </c>
      <c r="K27" s="198" t="e">
        <f t="shared" si="6"/>
        <v>#DIV/0!</v>
      </c>
      <c r="L27" s="196"/>
      <c r="M27" s="196"/>
      <c r="N27" s="196"/>
      <c r="O27" s="196"/>
      <c r="P27" s="199"/>
    </row>
    <row r="28" spans="1:19" ht="31.5" customHeight="1" x14ac:dyDescent="0.2">
      <c r="A28" s="193" t="s">
        <v>203</v>
      </c>
      <c r="B28" s="318">
        <v>707301</v>
      </c>
      <c r="C28" s="194" t="s">
        <v>18</v>
      </c>
      <c r="D28" s="195"/>
      <c r="E28" s="196">
        <v>204.26</v>
      </c>
      <c r="F28" s="196">
        <v>244.20000000000002</v>
      </c>
      <c r="G28" s="196">
        <v>70.45</v>
      </c>
      <c r="H28" s="196">
        <v>48.17</v>
      </c>
      <c r="I28" s="196">
        <v>48</v>
      </c>
      <c r="J28" s="197">
        <f t="shared" si="5"/>
        <v>-0.17000000000000171</v>
      </c>
      <c r="K28" s="198">
        <f t="shared" si="6"/>
        <v>-3.5291675316587441E-3</v>
      </c>
      <c r="L28" s="196"/>
      <c r="M28" s="196"/>
      <c r="N28" s="196"/>
      <c r="O28" s="196"/>
      <c r="P28" s="199"/>
    </row>
    <row r="29" spans="1:19" ht="31.5" customHeight="1" x14ac:dyDescent="0.2">
      <c r="A29" s="193"/>
      <c r="B29" s="193"/>
      <c r="C29" s="194"/>
      <c r="D29" s="195"/>
      <c r="E29" s="196"/>
      <c r="F29" s="196"/>
      <c r="G29" s="196"/>
      <c r="H29" s="196"/>
      <c r="I29" s="196"/>
      <c r="J29" s="197">
        <f t="shared" si="5"/>
        <v>0</v>
      </c>
      <c r="K29" s="198" t="e">
        <f t="shared" si="6"/>
        <v>#DIV/0!</v>
      </c>
      <c r="L29" s="196"/>
      <c r="M29" s="196"/>
      <c r="N29" s="196"/>
      <c r="O29" s="196"/>
      <c r="P29" s="199"/>
    </row>
    <row r="30" spans="1:19" ht="31.5" customHeight="1" x14ac:dyDescent="0.2">
      <c r="A30" s="193"/>
      <c r="B30" s="193"/>
      <c r="C30" s="194"/>
      <c r="D30" s="195"/>
      <c r="E30" s="196"/>
      <c r="F30" s="196"/>
      <c r="G30" s="196"/>
      <c r="H30" s="196"/>
      <c r="I30" s="196"/>
      <c r="J30" s="197">
        <f t="shared" si="5"/>
        <v>0</v>
      </c>
      <c r="K30" s="198" t="e">
        <f t="shared" si="6"/>
        <v>#DIV/0!</v>
      </c>
      <c r="L30" s="196"/>
      <c r="M30" s="196"/>
      <c r="N30" s="196"/>
      <c r="O30" s="196"/>
      <c r="P30" s="199"/>
    </row>
    <row r="31" spans="1:19" ht="31.5" customHeight="1" x14ac:dyDescent="0.2">
      <c r="A31" s="193"/>
      <c r="B31" s="193"/>
      <c r="C31" s="194"/>
      <c r="D31" s="195"/>
      <c r="E31" s="196"/>
      <c r="F31" s="196"/>
      <c r="G31" s="196"/>
      <c r="H31" s="196"/>
      <c r="I31" s="196"/>
      <c r="J31" s="197">
        <f t="shared" si="5"/>
        <v>0</v>
      </c>
      <c r="K31" s="198" t="e">
        <f t="shared" si="6"/>
        <v>#DIV/0!</v>
      </c>
      <c r="L31" s="196"/>
      <c r="M31" s="196"/>
      <c r="N31" s="196"/>
      <c r="O31" s="196"/>
      <c r="P31" s="199"/>
    </row>
    <row r="32" spans="1:19" ht="31.5" customHeight="1" x14ac:dyDescent="0.2">
      <c r="A32" s="193"/>
      <c r="B32" s="193"/>
      <c r="C32" s="194"/>
      <c r="D32" s="195"/>
      <c r="E32" s="196"/>
      <c r="F32" s="196"/>
      <c r="G32" s="196"/>
      <c r="H32" s="196"/>
      <c r="I32" s="196"/>
      <c r="J32" s="197">
        <f t="shared" si="5"/>
        <v>0</v>
      </c>
      <c r="K32" s="198" t="e">
        <f t="shared" si="6"/>
        <v>#DIV/0!</v>
      </c>
      <c r="L32" s="196"/>
      <c r="M32" s="196"/>
      <c r="N32" s="196"/>
      <c r="O32" s="196"/>
      <c r="P32" s="199"/>
    </row>
    <row r="33" spans="1:16" ht="31.5" customHeight="1" x14ac:dyDescent="0.2">
      <c r="A33" s="193"/>
      <c r="B33" s="193"/>
      <c r="C33" s="194"/>
      <c r="D33" s="195"/>
      <c r="E33" s="196"/>
      <c r="F33" s="196"/>
      <c r="G33" s="196"/>
      <c r="H33" s="196"/>
      <c r="I33" s="196"/>
      <c r="J33" s="197">
        <f t="shared" si="5"/>
        <v>0</v>
      </c>
      <c r="K33" s="198" t="e">
        <f t="shared" si="6"/>
        <v>#DIV/0!</v>
      </c>
      <c r="L33" s="196"/>
      <c r="M33" s="196"/>
      <c r="N33" s="196"/>
      <c r="O33" s="196"/>
      <c r="P33" s="199"/>
    </row>
    <row r="34" spans="1:16" ht="13.5" thickBot="1" x14ac:dyDescent="0.25">
      <c r="A34" s="200"/>
      <c r="B34" s="200"/>
      <c r="C34" s="177" t="s">
        <v>22</v>
      </c>
      <c r="D34" s="201"/>
      <c r="E34" s="180">
        <f>SUM(E21:E33)</f>
        <v>7761.09</v>
      </c>
      <c r="F34" s="180">
        <f>SUM(F21:F33)</f>
        <v>9145.84</v>
      </c>
      <c r="G34" s="180">
        <f>SUM(G21:G33)</f>
        <v>7065.09</v>
      </c>
      <c r="H34" s="180">
        <f>SUM(H21:H33)</f>
        <v>6642.76</v>
      </c>
      <c r="I34" s="180">
        <f>SUM(I21:I33)</f>
        <v>6048</v>
      </c>
      <c r="J34" s="180">
        <f t="shared" si="5"/>
        <v>-594.76000000000022</v>
      </c>
      <c r="K34" s="181">
        <f t="shared" si="6"/>
        <v>-8.9535072770956681E-2</v>
      </c>
      <c r="L34" s="180">
        <f>SUM(L21:L33)</f>
        <v>300</v>
      </c>
      <c r="M34" s="180">
        <f>SUM(M21:M33)</f>
        <v>0</v>
      </c>
      <c r="N34" s="180">
        <f>SUM(N21:N33)</f>
        <v>0</v>
      </c>
      <c r="O34" s="180">
        <f>SUM(O21:O33)</f>
        <v>181</v>
      </c>
      <c r="P34" s="202"/>
    </row>
    <row r="35" spans="1:16" ht="13.5" thickBot="1" x14ac:dyDescent="0.25">
      <c r="A35" s="203"/>
      <c r="B35" s="203"/>
      <c r="C35" s="204" t="s">
        <v>702</v>
      </c>
      <c r="D35" s="205"/>
      <c r="E35" s="206">
        <f>E18+E34</f>
        <v>12735.810000000001</v>
      </c>
      <c r="F35" s="206">
        <f>F18+F34</f>
        <v>14247.04</v>
      </c>
      <c r="G35" s="206">
        <f>G18+G34</f>
        <v>12070.35</v>
      </c>
      <c r="H35" s="206">
        <f>H18+H34</f>
        <v>8657.08</v>
      </c>
      <c r="I35" s="206">
        <f>I18+I34</f>
        <v>8048</v>
      </c>
      <c r="J35" s="206">
        <f>I35-H35</f>
        <v>-609.07999999999993</v>
      </c>
      <c r="K35" s="207">
        <f>(I35-H35)/H35</f>
        <v>-7.0356286415280897E-2</v>
      </c>
      <c r="L35" s="206">
        <f>L18+L34</f>
        <v>300</v>
      </c>
      <c r="M35" s="206">
        <f>M18+M34</f>
        <v>0</v>
      </c>
      <c r="N35" s="206">
        <f>N18+N34</f>
        <v>0</v>
      </c>
      <c r="O35" s="206">
        <f>O18+O34</f>
        <v>181</v>
      </c>
      <c r="P35" s="208"/>
    </row>
    <row r="36" spans="1:16" x14ac:dyDescent="0.2">
      <c r="A36" s="203"/>
      <c r="B36" s="203"/>
      <c r="C36" s="209" t="s">
        <v>698</v>
      </c>
      <c r="D36" s="210"/>
      <c r="E36" s="211"/>
      <c r="F36" s="211"/>
      <c r="G36" s="211"/>
      <c r="H36" s="212">
        <v>0</v>
      </c>
      <c r="I36" s="213"/>
      <c r="J36" s="213"/>
      <c r="K36" s="214"/>
      <c r="L36" s="213"/>
      <c r="M36" s="213"/>
      <c r="N36" s="213"/>
      <c r="O36" s="213"/>
      <c r="P36" s="215"/>
    </row>
    <row r="37" spans="1:16" x14ac:dyDescent="0.2">
      <c r="A37" s="203"/>
      <c r="B37" s="203"/>
      <c r="C37" s="183" t="s">
        <v>699</v>
      </c>
      <c r="D37" s="184"/>
      <c r="E37" s="216"/>
      <c r="F37" s="216"/>
      <c r="G37" s="216"/>
      <c r="H37" s="185">
        <f>12012</f>
        <v>12012</v>
      </c>
      <c r="I37" s="217"/>
      <c r="J37" s="217"/>
      <c r="K37" s="218"/>
      <c r="L37" s="217"/>
      <c r="M37" s="217"/>
      <c r="N37" s="217"/>
      <c r="O37" s="217"/>
      <c r="P37" s="219"/>
    </row>
    <row r="38" spans="1:16" x14ac:dyDescent="0.2">
      <c r="A38" s="203"/>
      <c r="B38" s="203"/>
      <c r="C38" s="183" t="s">
        <v>700</v>
      </c>
      <c r="D38" s="184"/>
      <c r="E38" s="216"/>
      <c r="F38" s="216"/>
      <c r="G38" s="216"/>
      <c r="H38" s="220">
        <f>H36-H10</f>
        <v>0</v>
      </c>
      <c r="I38" s="217"/>
      <c r="J38" s="217"/>
      <c r="K38" s="218"/>
      <c r="L38" s="217"/>
      <c r="M38" s="217"/>
      <c r="N38" s="217"/>
      <c r="O38" s="217"/>
      <c r="P38" s="219"/>
    </row>
    <row r="39" spans="1:16" x14ac:dyDescent="0.2">
      <c r="A39" s="221"/>
      <c r="B39" s="221"/>
      <c r="C39" s="183" t="s">
        <v>701</v>
      </c>
      <c r="D39" s="184"/>
      <c r="E39" s="217"/>
      <c r="F39" s="217"/>
      <c r="G39" s="217"/>
      <c r="H39" s="220">
        <f>H37-H35</f>
        <v>3354.92</v>
      </c>
      <c r="I39" s="217"/>
      <c r="J39" s="217"/>
      <c r="K39" s="218"/>
      <c r="L39" s="217"/>
      <c r="M39" s="217"/>
      <c r="N39" s="217"/>
      <c r="O39" s="217"/>
      <c r="P39" s="219"/>
    </row>
    <row r="41" spans="1:16" s="157" customFormat="1" ht="27" customHeight="1" thickBot="1" x14ac:dyDescent="0.25">
      <c r="A41" s="158" t="s">
        <v>687</v>
      </c>
      <c r="B41" s="158" t="s">
        <v>687</v>
      </c>
      <c r="M41" s="406" t="s">
        <v>690</v>
      </c>
      <c r="N41" s="406"/>
      <c r="O41" s="406"/>
    </row>
    <row r="42" spans="1:16" s="157" customFormat="1" ht="51.75" thickBot="1" x14ac:dyDescent="0.25">
      <c r="A42" s="225"/>
      <c r="B42" s="225"/>
      <c r="C42" s="229" t="s">
        <v>633</v>
      </c>
      <c r="D42" s="249"/>
      <c r="E42" s="234" t="s">
        <v>749</v>
      </c>
      <c r="F42" s="234" t="s">
        <v>750</v>
      </c>
      <c r="G42" s="234" t="s">
        <v>751</v>
      </c>
      <c r="H42" s="294" t="s">
        <v>747</v>
      </c>
      <c r="I42" s="234" t="s">
        <v>748</v>
      </c>
      <c r="J42" s="234" t="s">
        <v>745</v>
      </c>
      <c r="K42" s="295" t="s">
        <v>641</v>
      </c>
      <c r="M42" s="145"/>
      <c r="N42" s="145" t="s">
        <v>693</v>
      </c>
      <c r="O42" s="145" t="s">
        <v>694</v>
      </c>
    </row>
    <row r="43" spans="1:16" s="157" customFormat="1" x14ac:dyDescent="0.2">
      <c r="A43" s="225"/>
      <c r="B43" s="225"/>
      <c r="C43" s="194" t="s">
        <v>688</v>
      </c>
      <c r="D43" s="195"/>
      <c r="E43" s="226"/>
      <c r="F43" s="226"/>
      <c r="G43" s="226"/>
      <c r="H43" s="226"/>
      <c r="I43" s="226"/>
      <c r="J43" s="227">
        <f>I43-H43</f>
        <v>0</v>
      </c>
      <c r="K43" s="228" t="e">
        <f>(I43-H43)/H43</f>
        <v>#DIV/0!</v>
      </c>
      <c r="M43" s="146" t="s">
        <v>691</v>
      </c>
      <c r="N43" s="146">
        <v>0.5</v>
      </c>
      <c r="O43" s="146"/>
    </row>
    <row r="44" spans="1:16" s="157" customFormat="1" x14ac:dyDescent="0.2">
      <c r="M44" s="146" t="s">
        <v>692</v>
      </c>
      <c r="N44" s="146"/>
      <c r="O44" s="146"/>
    </row>
    <row r="45" spans="1:16" s="157" customFormat="1" x14ac:dyDescent="0.2">
      <c r="M45" s="146" t="s">
        <v>23</v>
      </c>
      <c r="N45" s="146">
        <f>SUM(N43:N44)</f>
        <v>0.5</v>
      </c>
      <c r="O45" s="146">
        <f>SUM(O43:O44)</f>
        <v>0</v>
      </c>
    </row>
    <row r="46" spans="1:16" s="157" customFormat="1" x14ac:dyDescent="0.2"/>
    <row r="47" spans="1:16" s="157" customFormat="1" x14ac:dyDescent="0.2"/>
    <row r="48" spans="1:16" s="157" customFormat="1" x14ac:dyDescent="0.2"/>
  </sheetData>
  <mergeCells count="2">
    <mergeCell ref="L3:N3"/>
    <mergeCell ref="M41:O41"/>
  </mergeCells>
  <pageMargins left="0.25" right="0.25" top="0.67708333333333304" bottom="0.35416666666666702" header="0.3" footer="0.3"/>
  <pageSetup paperSize="17" scale="71" orientation="landscape" r:id="rId1"/>
  <headerFooter>
    <oddHeader>&amp;C&amp;"Calibri,Bold"&amp;A</oddHeader>
    <oddFooter>&amp;Rprinted:  &amp;D&amp;T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53"/>
  <sheetViews>
    <sheetView showGridLines="0" zoomScaleNormal="100" workbookViewId="0">
      <selection activeCell="P20" sqref="P20"/>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862</v>
      </c>
      <c r="O1" s="164"/>
    </row>
    <row r="2" spans="1:19" ht="23.25" customHeight="1" thickBot="1" x14ac:dyDescent="0.3">
      <c r="A2" s="290" t="s">
        <v>810</v>
      </c>
      <c r="B2" s="232"/>
      <c r="C2" s="292" t="s">
        <v>863</v>
      </c>
      <c r="O2" s="164"/>
    </row>
    <row r="3" spans="1:19" ht="32.25" customHeight="1" thickBot="1" x14ac:dyDescent="0.25">
      <c r="A3" s="165" t="s">
        <v>864</v>
      </c>
      <c r="C3" s="315"/>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2967.71+44827.65</f>
        <v>47795.360000000001</v>
      </c>
      <c r="F6" s="171">
        <f>52000.06</f>
        <v>52000.06</v>
      </c>
      <c r="G6" s="171">
        <f>58375.43</f>
        <v>58375.43</v>
      </c>
      <c r="H6" s="313"/>
      <c r="I6" s="217"/>
      <c r="J6" s="173">
        <f>I6-H6</f>
        <v>0</v>
      </c>
      <c r="K6" s="174" t="e">
        <f>(I6-H6)/H6</f>
        <v>#DIV/0!</v>
      </c>
      <c r="L6" s="172"/>
      <c r="M6" s="175"/>
      <c r="N6" s="175"/>
      <c r="O6" s="175"/>
      <c r="P6" s="147"/>
      <c r="Q6" s="157"/>
      <c r="R6" s="157"/>
      <c r="S6" s="157"/>
    </row>
    <row r="7" spans="1:19" ht="32.25" customHeight="1" x14ac:dyDescent="0.2">
      <c r="A7" s="169"/>
      <c r="B7" s="169"/>
      <c r="C7" s="146"/>
      <c r="D7" s="170"/>
      <c r="E7" s="171">
        <v>0</v>
      </c>
      <c r="F7" s="171">
        <v>0</v>
      </c>
      <c r="G7" s="171">
        <v>0</v>
      </c>
      <c r="H7" s="313"/>
      <c r="I7" s="217"/>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47795.360000000001</v>
      </c>
      <c r="F8" s="179">
        <f>SUM(F6:F7)</f>
        <v>52000.06</v>
      </c>
      <c r="G8" s="179">
        <f>SUM(G6:G7)</f>
        <v>58375.43</v>
      </c>
      <c r="H8" s="179">
        <f>SUM(H6:H7)</f>
        <v>0</v>
      </c>
      <c r="I8" s="179">
        <f>SUM(I6:I7)</f>
        <v>0</v>
      </c>
      <c r="J8" s="180">
        <f>I8-H8</f>
        <v>0</v>
      </c>
      <c r="K8" s="181" t="e">
        <f>(I8-H8)/H8</f>
        <v>#DIV/0!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313"/>
      <c r="I10" s="217"/>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c r="B12" s="169"/>
      <c r="C12" s="146"/>
      <c r="D12" s="170"/>
      <c r="E12" s="171"/>
      <c r="F12" s="171"/>
      <c r="G12" s="171"/>
      <c r="H12" s="313"/>
      <c r="I12" s="217"/>
      <c r="J12" s="173">
        <f t="shared" si="1"/>
        <v>0</v>
      </c>
      <c r="K12" s="174" t="e">
        <f t="shared" ref="K12:K18" si="2">(I12-H12)/H12</f>
        <v>#DIV/0!</v>
      </c>
      <c r="L12" s="172"/>
      <c r="M12" s="175"/>
      <c r="N12" s="175"/>
      <c r="O12" s="175"/>
      <c r="P12" s="147"/>
      <c r="Q12" s="157"/>
      <c r="R12" s="157"/>
      <c r="S12" s="157"/>
    </row>
    <row r="13" spans="1:19" x14ac:dyDescent="0.2">
      <c r="A13" s="169"/>
      <c r="B13" s="169"/>
      <c r="C13" s="146"/>
      <c r="D13" s="170"/>
      <c r="E13" s="171"/>
      <c r="F13" s="171"/>
      <c r="G13" s="171"/>
      <c r="H13" s="313"/>
      <c r="I13" s="217"/>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313"/>
      <c r="I14" s="217"/>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313"/>
      <c r="I15" s="217"/>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313"/>
      <c r="I16" s="217"/>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313"/>
      <c r="I17" s="217"/>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0</v>
      </c>
      <c r="F18" s="185">
        <f t="shared" ref="F18:I18" si="3">SUM(F12:F17)</f>
        <v>0</v>
      </c>
      <c r="G18" s="185">
        <f t="shared" si="3"/>
        <v>0</v>
      </c>
      <c r="H18" s="185">
        <f t="shared" si="3"/>
        <v>0</v>
      </c>
      <c r="I18" s="185">
        <f t="shared" si="3"/>
        <v>0</v>
      </c>
      <c r="J18" s="185">
        <f t="shared" si="1"/>
        <v>0</v>
      </c>
      <c r="K18" s="186" t="e">
        <f t="shared" si="2"/>
        <v>#DIV/0!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416</v>
      </c>
      <c r="B21" s="318">
        <v>702200</v>
      </c>
      <c r="C21" s="194" t="s">
        <v>11</v>
      </c>
      <c r="D21" s="195"/>
      <c r="E21" s="196">
        <v>6579.85</v>
      </c>
      <c r="F21" s="196">
        <v>579.41999999999996</v>
      </c>
      <c r="G21" s="196">
        <v>3252.08</v>
      </c>
      <c r="H21" s="317"/>
      <c r="I21" s="314"/>
      <c r="J21" s="197">
        <f t="shared" ref="J21:J39" si="5">I21-H21</f>
        <v>0</v>
      </c>
      <c r="K21" s="198" t="e">
        <f t="shared" ref="K21:K39" si="6">(I21-H21)/H21</f>
        <v>#DIV/0!</v>
      </c>
      <c r="L21" s="196"/>
      <c r="M21" s="196"/>
      <c r="N21" s="196"/>
      <c r="O21" s="196"/>
      <c r="P21" s="199"/>
    </row>
    <row r="22" spans="1:19" ht="31.5" customHeight="1" x14ac:dyDescent="0.2">
      <c r="A22" s="193" t="s">
        <v>377</v>
      </c>
      <c r="B22" s="318">
        <v>701500</v>
      </c>
      <c r="C22" s="194" t="s">
        <v>376</v>
      </c>
      <c r="D22" s="195"/>
      <c r="E22" s="196">
        <v>175</v>
      </c>
      <c r="F22" s="196">
        <v>200</v>
      </c>
      <c r="G22" s="196">
        <v>200</v>
      </c>
      <c r="H22" s="317"/>
      <c r="I22" s="314"/>
      <c r="J22" s="197">
        <f t="shared" si="5"/>
        <v>0</v>
      </c>
      <c r="K22" s="198" t="e">
        <f t="shared" si="6"/>
        <v>#DIV/0!</v>
      </c>
      <c r="L22" s="196"/>
      <c r="M22" s="196"/>
      <c r="N22" s="196"/>
      <c r="O22" s="196"/>
      <c r="P22" s="199"/>
    </row>
    <row r="23" spans="1:19" ht="31.5" customHeight="1" x14ac:dyDescent="0.2">
      <c r="A23" s="193" t="s">
        <v>363</v>
      </c>
      <c r="B23" s="318">
        <v>701603</v>
      </c>
      <c r="C23" s="194" t="s">
        <v>362</v>
      </c>
      <c r="D23" s="195"/>
      <c r="E23" s="196">
        <v>133.5</v>
      </c>
      <c r="F23" s="196">
        <v>195</v>
      </c>
      <c r="G23" s="196">
        <v>393</v>
      </c>
      <c r="H23" s="317"/>
      <c r="I23" s="314"/>
      <c r="J23" s="197">
        <f t="shared" ref="J23:J27" si="7">I23-H23</f>
        <v>0</v>
      </c>
      <c r="K23" s="198" t="e">
        <f t="shared" ref="K23:K27" si="8">(I23-H23)/H23</f>
        <v>#DIV/0!</v>
      </c>
      <c r="L23" s="196"/>
      <c r="M23" s="196"/>
      <c r="N23" s="196"/>
      <c r="O23" s="196"/>
      <c r="P23" s="199"/>
    </row>
    <row r="24" spans="1:19" ht="31.5" customHeight="1" x14ac:dyDescent="0.2">
      <c r="A24" s="193" t="s">
        <v>361</v>
      </c>
      <c r="B24" s="318">
        <v>705001</v>
      </c>
      <c r="C24" s="194" t="s">
        <v>360</v>
      </c>
      <c r="D24" s="195"/>
      <c r="E24" s="196">
        <v>3553</v>
      </c>
      <c r="F24" s="196">
        <v>1555</v>
      </c>
      <c r="G24" s="196">
        <v>2314.77</v>
      </c>
      <c r="H24" s="317"/>
      <c r="I24" s="314"/>
      <c r="J24" s="197">
        <f t="shared" si="7"/>
        <v>0</v>
      </c>
      <c r="K24" s="198" t="e">
        <f t="shared" si="8"/>
        <v>#DIV/0!</v>
      </c>
      <c r="L24" s="196"/>
      <c r="M24" s="196"/>
      <c r="N24" s="196"/>
      <c r="O24" s="196"/>
      <c r="P24" s="199"/>
    </row>
    <row r="25" spans="1:19" ht="31.5" customHeight="1" x14ac:dyDescent="0.2">
      <c r="A25" s="193" t="s">
        <v>359</v>
      </c>
      <c r="B25" s="318">
        <v>705101</v>
      </c>
      <c r="C25" s="194" t="s">
        <v>358</v>
      </c>
      <c r="D25" s="195"/>
      <c r="E25" s="196">
        <v>10500.47</v>
      </c>
      <c r="F25" s="196">
        <v>18080.61</v>
      </c>
      <c r="G25" s="196">
        <v>25582.22</v>
      </c>
      <c r="H25" s="317"/>
      <c r="I25" s="314"/>
      <c r="J25" s="197">
        <f t="shared" si="7"/>
        <v>0</v>
      </c>
      <c r="K25" s="198" t="e">
        <f t="shared" si="8"/>
        <v>#DIV/0!</v>
      </c>
      <c r="L25" s="196"/>
      <c r="M25" s="196"/>
      <c r="N25" s="196"/>
      <c r="O25" s="196"/>
      <c r="P25" s="199"/>
    </row>
    <row r="26" spans="1:19" ht="31.5" customHeight="1" x14ac:dyDescent="0.2">
      <c r="A26" s="193" t="s">
        <v>357</v>
      </c>
      <c r="B26" s="318">
        <v>705002</v>
      </c>
      <c r="C26" s="194" t="s">
        <v>356</v>
      </c>
      <c r="D26" s="195"/>
      <c r="E26" s="196">
        <v>98</v>
      </c>
      <c r="F26" s="196">
        <v>32.5</v>
      </c>
      <c r="G26" s="196"/>
      <c r="H26" s="317"/>
      <c r="I26" s="314"/>
      <c r="J26" s="197">
        <f t="shared" si="7"/>
        <v>0</v>
      </c>
      <c r="K26" s="198" t="e">
        <f t="shared" si="8"/>
        <v>#DIV/0!</v>
      </c>
      <c r="L26" s="196"/>
      <c r="M26" s="196"/>
      <c r="N26" s="196"/>
      <c r="O26" s="196"/>
      <c r="P26" s="199"/>
    </row>
    <row r="27" spans="1:19" ht="31.5" customHeight="1" x14ac:dyDescent="0.2">
      <c r="A27" s="193" t="s">
        <v>349</v>
      </c>
      <c r="B27" s="318">
        <v>705100</v>
      </c>
      <c r="C27" s="194" t="s">
        <v>348</v>
      </c>
      <c r="D27" s="195"/>
      <c r="E27" s="196">
        <v>0</v>
      </c>
      <c r="F27" s="196">
        <v>0</v>
      </c>
      <c r="G27" s="196">
        <v>20</v>
      </c>
      <c r="H27" s="317"/>
      <c r="I27" s="314"/>
      <c r="J27" s="197">
        <f t="shared" si="7"/>
        <v>0</v>
      </c>
      <c r="K27" s="198" t="e">
        <f t="shared" si="8"/>
        <v>#DIV/0!</v>
      </c>
      <c r="L27" s="196"/>
      <c r="M27" s="196"/>
      <c r="N27" s="196"/>
      <c r="O27" s="196"/>
      <c r="P27" s="199"/>
    </row>
    <row r="28" spans="1:19" ht="31.5" customHeight="1" x14ac:dyDescent="0.2">
      <c r="A28" s="193" t="s">
        <v>276</v>
      </c>
      <c r="B28" s="319">
        <v>706605</v>
      </c>
      <c r="C28" s="194" t="s">
        <v>275</v>
      </c>
      <c r="D28" s="195"/>
      <c r="E28" s="196">
        <v>649.12</v>
      </c>
      <c r="F28" s="196">
        <v>650.88</v>
      </c>
      <c r="G28" s="196">
        <v>54.17</v>
      </c>
      <c r="H28" s="317"/>
      <c r="I28" s="314"/>
      <c r="J28" s="197">
        <f t="shared" si="5"/>
        <v>0</v>
      </c>
      <c r="K28" s="198" t="e">
        <f t="shared" si="6"/>
        <v>#DIV/0!</v>
      </c>
      <c r="L28" s="196"/>
      <c r="M28" s="196"/>
      <c r="N28" s="196"/>
      <c r="O28" s="196"/>
      <c r="P28" s="199"/>
    </row>
    <row r="29" spans="1:19" ht="31.5" customHeight="1" x14ac:dyDescent="0.2">
      <c r="A29" s="193" t="s">
        <v>258</v>
      </c>
      <c r="B29" s="318">
        <v>707101</v>
      </c>
      <c r="C29" s="194" t="s">
        <v>257</v>
      </c>
      <c r="D29" s="195"/>
      <c r="E29" s="196"/>
      <c r="F29" s="196"/>
      <c r="G29" s="196">
        <v>595.83000000000004</v>
      </c>
      <c r="H29" s="317"/>
      <c r="I29" s="314"/>
      <c r="J29" s="197">
        <f t="shared" si="5"/>
        <v>0</v>
      </c>
      <c r="K29" s="198" t="e">
        <f t="shared" si="6"/>
        <v>#DIV/0!</v>
      </c>
      <c r="L29" s="196"/>
      <c r="M29" s="196"/>
      <c r="N29" s="196"/>
      <c r="O29" s="196"/>
      <c r="P29" s="199"/>
    </row>
    <row r="30" spans="1:19" ht="31.5" customHeight="1" x14ac:dyDescent="0.2">
      <c r="A30" s="193" t="s">
        <v>230</v>
      </c>
      <c r="B30" s="318">
        <v>707151</v>
      </c>
      <c r="C30" s="194" t="s">
        <v>15</v>
      </c>
      <c r="D30" s="195"/>
      <c r="E30" s="196">
        <v>84.84</v>
      </c>
      <c r="F30" s="196">
        <v>88.710000000000008</v>
      </c>
      <c r="G30" s="196">
        <v>87.09</v>
      </c>
      <c r="H30" s="317"/>
      <c r="I30" s="314"/>
      <c r="J30" s="197">
        <f t="shared" si="5"/>
        <v>0</v>
      </c>
      <c r="K30" s="198" t="e">
        <f t="shared" si="6"/>
        <v>#DIV/0!</v>
      </c>
      <c r="L30" s="196"/>
      <c r="M30" s="196"/>
      <c r="N30" s="196"/>
      <c r="O30" s="196"/>
      <c r="P30" s="199"/>
    </row>
    <row r="31" spans="1:19" ht="31.5" customHeight="1" x14ac:dyDescent="0.2">
      <c r="A31" s="193" t="s">
        <v>229</v>
      </c>
      <c r="B31" s="318">
        <v>707151</v>
      </c>
      <c r="C31" s="194" t="s">
        <v>16</v>
      </c>
      <c r="D31" s="195"/>
      <c r="E31" s="196">
        <v>11.17</v>
      </c>
      <c r="F31" s="196">
        <v>5.98</v>
      </c>
      <c r="G31" s="196">
        <v>11.950000000000001</v>
      </c>
      <c r="H31" s="317"/>
      <c r="I31" s="314"/>
      <c r="J31" s="197">
        <f t="shared" si="5"/>
        <v>0</v>
      </c>
      <c r="K31" s="198" t="e">
        <f t="shared" si="6"/>
        <v>#DIV/0!</v>
      </c>
      <c r="L31" s="196"/>
      <c r="M31" s="196"/>
      <c r="N31" s="196"/>
      <c r="O31" s="196"/>
      <c r="P31" s="199"/>
    </row>
    <row r="32" spans="1:19" ht="31.5" customHeight="1" x14ac:dyDescent="0.2">
      <c r="A32" s="193" t="s">
        <v>217</v>
      </c>
      <c r="B32" s="318">
        <v>707306</v>
      </c>
      <c r="C32" s="194" t="s">
        <v>216</v>
      </c>
      <c r="D32" s="195"/>
      <c r="E32" s="196"/>
      <c r="F32" s="196"/>
      <c r="G32" s="196">
        <v>250.36</v>
      </c>
      <c r="H32" s="317"/>
      <c r="I32" s="314"/>
      <c r="J32" s="197">
        <f t="shared" si="5"/>
        <v>0</v>
      </c>
      <c r="K32" s="198" t="e">
        <f t="shared" si="6"/>
        <v>#DIV/0!</v>
      </c>
      <c r="L32" s="196"/>
      <c r="M32" s="196"/>
      <c r="N32" s="196"/>
      <c r="O32" s="196"/>
      <c r="P32" s="199"/>
    </row>
    <row r="33" spans="1:16" ht="31.5" customHeight="1" x14ac:dyDescent="0.2">
      <c r="A33" s="193" t="s">
        <v>203</v>
      </c>
      <c r="B33" s="318">
        <v>707301</v>
      </c>
      <c r="C33" s="194" t="s">
        <v>18</v>
      </c>
      <c r="D33" s="195"/>
      <c r="E33" s="196">
        <v>0</v>
      </c>
      <c r="F33" s="196"/>
      <c r="G33" s="196">
        <v>294</v>
      </c>
      <c r="H33" s="317"/>
      <c r="I33" s="314"/>
      <c r="J33" s="197">
        <f t="shared" si="5"/>
        <v>0</v>
      </c>
      <c r="K33" s="198" t="e">
        <f t="shared" si="6"/>
        <v>#DIV/0!</v>
      </c>
      <c r="L33" s="196"/>
      <c r="M33" s="196"/>
      <c r="N33" s="196"/>
      <c r="O33" s="196"/>
      <c r="P33" s="199"/>
    </row>
    <row r="34" spans="1:16" ht="31.5" customHeight="1" x14ac:dyDescent="0.2">
      <c r="A34" s="193" t="s">
        <v>196</v>
      </c>
      <c r="B34" s="318">
        <v>707309</v>
      </c>
      <c r="C34" s="194" t="s">
        <v>19</v>
      </c>
      <c r="D34" s="195"/>
      <c r="E34" s="196">
        <v>15</v>
      </c>
      <c r="F34" s="196"/>
      <c r="G34" s="196"/>
      <c r="H34" s="317"/>
      <c r="I34" s="314"/>
      <c r="J34" s="197">
        <f t="shared" si="5"/>
        <v>0</v>
      </c>
      <c r="K34" s="198" t="e">
        <f t="shared" si="6"/>
        <v>#DIV/0!</v>
      </c>
      <c r="L34" s="196"/>
      <c r="M34" s="196"/>
      <c r="N34" s="196"/>
      <c r="O34" s="196"/>
      <c r="P34" s="199"/>
    </row>
    <row r="35" spans="1:16" ht="31.5" customHeight="1" x14ac:dyDescent="0.2">
      <c r="A35" s="193" t="s">
        <v>177</v>
      </c>
      <c r="B35" s="318">
        <v>707505</v>
      </c>
      <c r="C35" s="194" t="s">
        <v>176</v>
      </c>
      <c r="D35" s="195"/>
      <c r="E35" s="196"/>
      <c r="F35" s="196"/>
      <c r="G35" s="196">
        <v>8.9500000000000011</v>
      </c>
      <c r="H35" s="317"/>
      <c r="I35" s="314"/>
      <c r="J35" s="197">
        <f t="shared" si="5"/>
        <v>0</v>
      </c>
      <c r="K35" s="198" t="e">
        <f t="shared" si="6"/>
        <v>#DIV/0!</v>
      </c>
      <c r="L35" s="196"/>
      <c r="M35" s="196"/>
      <c r="N35" s="196"/>
      <c r="O35" s="196"/>
      <c r="P35" s="199"/>
    </row>
    <row r="36" spans="1:16" ht="31.5" customHeight="1" x14ac:dyDescent="0.2">
      <c r="A36" s="193"/>
      <c r="B36" s="193"/>
      <c r="C36" s="194"/>
      <c r="D36" s="195"/>
      <c r="E36" s="196"/>
      <c r="F36" s="196"/>
      <c r="G36" s="196"/>
      <c r="H36" s="317"/>
      <c r="I36" s="314"/>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317"/>
      <c r="I37" s="314"/>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317"/>
      <c r="I38" s="314"/>
      <c r="J38" s="197">
        <f t="shared" si="5"/>
        <v>0</v>
      </c>
      <c r="K38" s="198" t="e">
        <f t="shared" si="6"/>
        <v>#DIV/0!</v>
      </c>
      <c r="L38" s="196"/>
      <c r="M38" s="196"/>
      <c r="N38" s="196"/>
      <c r="O38" s="196"/>
      <c r="P38" s="199"/>
    </row>
    <row r="39" spans="1:16" ht="13.5" thickBot="1" x14ac:dyDescent="0.25">
      <c r="A39" s="200"/>
      <c r="B39" s="200"/>
      <c r="C39" s="177" t="s">
        <v>22</v>
      </c>
      <c r="D39" s="201"/>
      <c r="E39" s="180">
        <f>SUM(E21:E38)</f>
        <v>21799.949999999997</v>
      </c>
      <c r="F39" s="180">
        <f>SUM(F21:F38)</f>
        <v>21388.1</v>
      </c>
      <c r="G39" s="180">
        <f>SUM(G21:G38)</f>
        <v>33064.42</v>
      </c>
      <c r="H39" s="180">
        <f>SUM(H21:H38)</f>
        <v>0</v>
      </c>
      <c r="I39" s="180">
        <f>SUM(I21:I38)</f>
        <v>0</v>
      </c>
      <c r="J39" s="180">
        <f t="shared" si="5"/>
        <v>0</v>
      </c>
      <c r="K39" s="181" t="e">
        <f t="shared" si="6"/>
        <v>#DIV/0!</v>
      </c>
      <c r="L39" s="180">
        <f>SUM(L21:L38)</f>
        <v>0</v>
      </c>
      <c r="M39" s="180">
        <f>SUM(M21:M38)</f>
        <v>0</v>
      </c>
      <c r="N39" s="180">
        <f>SUM(N21:N38)</f>
        <v>0</v>
      </c>
      <c r="O39" s="180">
        <f>SUM(O21:O38)</f>
        <v>0</v>
      </c>
      <c r="P39" s="202"/>
    </row>
    <row r="40" spans="1:16" ht="13.5" thickBot="1" x14ac:dyDescent="0.25">
      <c r="A40" s="203"/>
      <c r="B40" s="203"/>
      <c r="C40" s="204" t="s">
        <v>702</v>
      </c>
      <c r="D40" s="205"/>
      <c r="E40" s="206">
        <f>E18+E39</f>
        <v>21799.949999999997</v>
      </c>
      <c r="F40" s="206">
        <f>F18+F39</f>
        <v>21388.1</v>
      </c>
      <c r="G40" s="206">
        <f>G18+G39</f>
        <v>33064.42</v>
      </c>
      <c r="H40" s="206">
        <f>H18+H39</f>
        <v>0</v>
      </c>
      <c r="I40" s="206">
        <f>I18+I39</f>
        <v>0</v>
      </c>
      <c r="J40" s="206">
        <f>I40-H40</f>
        <v>0</v>
      </c>
      <c r="K40" s="207" t="e">
        <f>(I40-H40)/H40</f>
        <v>#DIV/0!</v>
      </c>
      <c r="L40" s="206">
        <f>L18+L39</f>
        <v>0</v>
      </c>
      <c r="M40" s="206">
        <f>M18+M39</f>
        <v>0</v>
      </c>
      <c r="N40" s="206">
        <f>N18+N39</f>
        <v>0</v>
      </c>
      <c r="O40" s="206">
        <f>O18+O39</f>
        <v>0</v>
      </c>
      <c r="P40" s="208"/>
    </row>
    <row r="41" spans="1:16" x14ac:dyDescent="0.2">
      <c r="A41" s="203"/>
      <c r="B41" s="203"/>
      <c r="C41" s="209" t="s">
        <v>698</v>
      </c>
      <c r="D41" s="210"/>
      <c r="E41" s="211"/>
      <c r="F41" s="211"/>
      <c r="G41" s="211"/>
      <c r="H41" s="212">
        <v>0</v>
      </c>
      <c r="I41" s="213"/>
      <c r="J41" s="213"/>
      <c r="K41" s="214"/>
      <c r="L41" s="213"/>
      <c r="M41" s="213"/>
      <c r="N41" s="213"/>
      <c r="O41" s="213"/>
      <c r="P41" s="215"/>
    </row>
    <row r="42" spans="1:16" x14ac:dyDescent="0.2">
      <c r="A42" s="203"/>
      <c r="B42" s="203"/>
      <c r="C42" s="183" t="s">
        <v>699</v>
      </c>
      <c r="D42" s="184"/>
      <c r="E42" s="216"/>
      <c r="F42" s="216"/>
      <c r="G42" s="216"/>
      <c r="H42" s="185">
        <v>0</v>
      </c>
      <c r="I42" s="217"/>
      <c r="J42" s="217"/>
      <c r="K42" s="218"/>
      <c r="L42" s="217"/>
      <c r="M42" s="217"/>
      <c r="N42" s="217"/>
      <c r="O42" s="217"/>
      <c r="P42" s="219"/>
    </row>
    <row r="43" spans="1:16" x14ac:dyDescent="0.2">
      <c r="A43" s="203"/>
      <c r="B43" s="203"/>
      <c r="C43" s="183" t="s">
        <v>700</v>
      </c>
      <c r="D43" s="184"/>
      <c r="E43" s="216"/>
      <c r="F43" s="216"/>
      <c r="G43" s="216"/>
      <c r="H43" s="220">
        <f>H41-H10</f>
        <v>0</v>
      </c>
      <c r="I43" s="217"/>
      <c r="J43" s="217"/>
      <c r="K43" s="218"/>
      <c r="L43" s="217"/>
      <c r="M43" s="217"/>
      <c r="N43" s="217"/>
      <c r="O43" s="217"/>
      <c r="P43" s="219"/>
    </row>
    <row r="44" spans="1:16" x14ac:dyDescent="0.2">
      <c r="A44" s="221"/>
      <c r="B44" s="221"/>
      <c r="C44" s="183" t="s">
        <v>701</v>
      </c>
      <c r="D44" s="184"/>
      <c r="E44" s="217"/>
      <c r="F44" s="217"/>
      <c r="G44" s="217"/>
      <c r="H44" s="220">
        <f>H42-H40</f>
        <v>0</v>
      </c>
      <c r="I44" s="217"/>
      <c r="J44" s="217"/>
      <c r="K44" s="218"/>
      <c r="L44" s="217"/>
      <c r="M44" s="217"/>
      <c r="N44" s="217"/>
      <c r="O44" s="217"/>
      <c r="P44" s="219"/>
    </row>
    <row r="46" spans="1:16" s="157" customFormat="1" ht="27" customHeight="1" thickBot="1" x14ac:dyDescent="0.25">
      <c r="A46" s="158" t="s">
        <v>687</v>
      </c>
      <c r="B46" s="158" t="s">
        <v>687</v>
      </c>
      <c r="M46" s="406" t="s">
        <v>690</v>
      </c>
      <c r="N46" s="406"/>
      <c r="O46" s="406"/>
    </row>
    <row r="47" spans="1:16" s="157" customFormat="1" ht="51.75" thickBot="1" x14ac:dyDescent="0.25">
      <c r="A47" s="225"/>
      <c r="B47" s="225"/>
      <c r="C47" s="229" t="s">
        <v>633</v>
      </c>
      <c r="D47" s="249"/>
      <c r="E47" s="234" t="s">
        <v>749</v>
      </c>
      <c r="F47" s="234" t="s">
        <v>750</v>
      </c>
      <c r="G47" s="234" t="s">
        <v>751</v>
      </c>
      <c r="H47" s="294" t="s">
        <v>747</v>
      </c>
      <c r="I47" s="234" t="s">
        <v>748</v>
      </c>
      <c r="J47" s="234" t="s">
        <v>745</v>
      </c>
      <c r="K47" s="295" t="s">
        <v>641</v>
      </c>
      <c r="M47" s="145"/>
      <c r="N47" s="145" t="s">
        <v>693</v>
      </c>
      <c r="O47" s="145" t="s">
        <v>694</v>
      </c>
    </row>
    <row r="48" spans="1:16" s="157" customFormat="1" x14ac:dyDescent="0.2">
      <c r="A48" s="225"/>
      <c r="B48" s="225"/>
      <c r="C48" s="194" t="s">
        <v>688</v>
      </c>
      <c r="D48" s="195"/>
      <c r="E48" s="226"/>
      <c r="F48" s="226"/>
      <c r="G48" s="226"/>
      <c r="H48" s="226"/>
      <c r="I48" s="226"/>
      <c r="J48" s="227">
        <f>I48-H48</f>
        <v>0</v>
      </c>
      <c r="K48" s="228" t="e">
        <f>(I48-H48)/H48</f>
        <v>#DIV/0!</v>
      </c>
      <c r="M48" s="146" t="s">
        <v>691</v>
      </c>
      <c r="N48" s="146"/>
      <c r="O48" s="146"/>
    </row>
    <row r="49" spans="13:15" s="157" customFormat="1" x14ac:dyDescent="0.2">
      <c r="M49" s="146" t="s">
        <v>692</v>
      </c>
      <c r="N49" s="146"/>
      <c r="O49" s="146"/>
    </row>
    <row r="50" spans="13:15" s="157" customFormat="1" x14ac:dyDescent="0.2">
      <c r="M50" s="146" t="s">
        <v>23</v>
      </c>
      <c r="N50" s="146">
        <f>SUM(N48:N49)</f>
        <v>0</v>
      </c>
      <c r="O50" s="146">
        <f>SUM(O48:O49)</f>
        <v>0</v>
      </c>
    </row>
    <row r="51" spans="13:15" s="157" customFormat="1" x14ac:dyDescent="0.2"/>
    <row r="52" spans="13:15" s="157" customFormat="1" x14ac:dyDescent="0.2"/>
    <row r="53" spans="13:15" s="157" customFormat="1" x14ac:dyDescent="0.2"/>
  </sheetData>
  <mergeCells count="2">
    <mergeCell ref="L3:N3"/>
    <mergeCell ref="M46:O46"/>
  </mergeCells>
  <pageMargins left="0.25" right="0.25" top="0.67708333333333304" bottom="0.35416666666666702" header="0.3" footer="0.3"/>
  <pageSetup paperSize="17" scale="62" orientation="landscape" r:id="rId1"/>
  <headerFooter>
    <oddHeader>&amp;C&amp;"Calibri,Bold"&amp;A</oddHeader>
    <oddFooter>&amp;Rprinted:  &amp;D&amp;T</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5"/>
  <sheetViews>
    <sheetView showGridLines="0" topLeftCell="A40" zoomScaleNormal="100" workbookViewId="0">
      <selection activeCell="L25" sqref="L25"/>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865</v>
      </c>
      <c r="O1" s="164"/>
    </row>
    <row r="2" spans="1:19" ht="23.25" customHeight="1" thickBot="1" x14ac:dyDescent="0.3">
      <c r="A2" s="290" t="s">
        <v>810</v>
      </c>
      <c r="B2" s="232"/>
      <c r="C2" s="292" t="s">
        <v>866</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72970.88</f>
        <v>72970.880000000005</v>
      </c>
      <c r="F6" s="171">
        <f>58742.27</f>
        <v>58742.27</v>
      </c>
      <c r="G6" s="171">
        <f>61049.88</f>
        <v>61049.88</v>
      </c>
      <c r="H6" s="171">
        <f>SUM('FT Salaries'!E83)</f>
        <v>62000</v>
      </c>
      <c r="I6" s="172">
        <f>SUM(H6)</f>
        <v>62000</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72970.880000000005</v>
      </c>
      <c r="F8" s="179">
        <f>SUM(F6:F7)</f>
        <v>58742.27</v>
      </c>
      <c r="G8" s="179">
        <f>SUM(G6:G7)</f>
        <v>61049.88</v>
      </c>
      <c r="H8" s="179">
        <f>SUM(H6:H7)</f>
        <v>62000</v>
      </c>
      <c r="I8" s="179">
        <f>SUM(I6:I7)</f>
        <v>62000</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25990</v>
      </c>
      <c r="F12" s="171">
        <v>16212.24</v>
      </c>
      <c r="G12" s="171">
        <v>14471.18</v>
      </c>
      <c r="H12" s="171">
        <v>21898</v>
      </c>
      <c r="I12" s="172">
        <v>27000</v>
      </c>
      <c r="J12" s="173">
        <f t="shared" si="1"/>
        <v>5102</v>
      </c>
      <c r="K12" s="174">
        <f t="shared" ref="K12:K18" si="2">(I12-H12)/H12</f>
        <v>0.2329893140926112</v>
      </c>
      <c r="L12" s="172"/>
      <c r="M12" s="175"/>
      <c r="N12" s="175"/>
      <c r="O12" s="175"/>
      <c r="P12" s="147" t="s">
        <v>1046</v>
      </c>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25990</v>
      </c>
      <c r="F18" s="185">
        <f t="shared" ref="F18:I18" si="3">SUM(F12:F17)</f>
        <v>16212.24</v>
      </c>
      <c r="G18" s="185">
        <f t="shared" si="3"/>
        <v>14471.18</v>
      </c>
      <c r="H18" s="185">
        <f t="shared" si="3"/>
        <v>21898</v>
      </c>
      <c r="I18" s="185">
        <f t="shared" si="3"/>
        <v>27000</v>
      </c>
      <c r="J18" s="185">
        <f t="shared" si="1"/>
        <v>5102</v>
      </c>
      <c r="K18" s="186">
        <f t="shared" si="2"/>
        <v>0.2329893140926112</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c r="F21" s="196"/>
      <c r="G21" s="196">
        <v>199</v>
      </c>
      <c r="H21" s="196">
        <v>275</v>
      </c>
      <c r="I21" s="196">
        <v>275</v>
      </c>
      <c r="J21" s="197">
        <f t="shared" ref="J21:J51" si="5">I21-H21</f>
        <v>0</v>
      </c>
      <c r="K21" s="198">
        <f t="shared" ref="K21:K51" si="6">(I21-H21)/H21</f>
        <v>0</v>
      </c>
      <c r="L21" s="196"/>
      <c r="M21" s="196"/>
      <c r="N21" s="196"/>
      <c r="O21" s="196"/>
      <c r="P21" s="199"/>
    </row>
    <row r="22" spans="1:19" ht="31.5" customHeight="1" x14ac:dyDescent="0.2">
      <c r="A22" s="193" t="s">
        <v>416</v>
      </c>
      <c r="B22" s="318">
        <v>702200</v>
      </c>
      <c r="C22" s="194" t="s">
        <v>11</v>
      </c>
      <c r="D22" s="195"/>
      <c r="E22" s="196">
        <v>12945.630000000001</v>
      </c>
      <c r="F22" s="196">
        <v>10073.86</v>
      </c>
      <c r="G22" s="196">
        <v>11700.68</v>
      </c>
      <c r="H22" s="196">
        <v>8858</v>
      </c>
      <c r="I22" s="196">
        <v>12600</v>
      </c>
      <c r="J22" s="197">
        <f t="shared" si="5"/>
        <v>3742</v>
      </c>
      <c r="K22" s="198">
        <f t="shared" si="6"/>
        <v>0.42244298938812375</v>
      </c>
      <c r="L22" s="196"/>
      <c r="M22" s="196"/>
      <c r="N22" s="196"/>
      <c r="O22" s="196">
        <v>1674</v>
      </c>
      <c r="P22" s="199" t="s">
        <v>1043</v>
      </c>
    </row>
    <row r="23" spans="1:19" ht="31.5" customHeight="1" x14ac:dyDescent="0.2">
      <c r="A23" s="193" t="s">
        <v>387</v>
      </c>
      <c r="B23" s="318">
        <v>701406</v>
      </c>
      <c r="C23" s="194" t="s">
        <v>386</v>
      </c>
      <c r="D23" s="195"/>
      <c r="E23" s="196">
        <v>7422</v>
      </c>
      <c r="F23" s="196">
        <v>7560</v>
      </c>
      <c r="G23" s="196">
        <v>6715</v>
      </c>
      <c r="H23" s="196">
        <v>4800</v>
      </c>
      <c r="I23" s="196">
        <v>6400</v>
      </c>
      <c r="J23" s="197">
        <f t="shared" si="5"/>
        <v>1600</v>
      </c>
      <c r="K23" s="198">
        <f t="shared" si="6"/>
        <v>0.33333333333333331</v>
      </c>
      <c r="L23" s="196"/>
      <c r="M23" s="196"/>
      <c r="N23" s="196"/>
      <c r="O23" s="196"/>
      <c r="P23" s="199"/>
    </row>
    <row r="24" spans="1:19" ht="31.5" customHeight="1" x14ac:dyDescent="0.2">
      <c r="A24" s="193" t="s">
        <v>377</v>
      </c>
      <c r="B24" s="318">
        <v>701500</v>
      </c>
      <c r="C24" s="194" t="s">
        <v>376</v>
      </c>
      <c r="D24" s="195"/>
      <c r="E24" s="196">
        <v>250</v>
      </c>
      <c r="F24" s="196">
        <v>300</v>
      </c>
      <c r="G24" s="196"/>
      <c r="H24" s="196">
        <v>250</v>
      </c>
      <c r="I24" s="196">
        <v>250</v>
      </c>
      <c r="J24" s="197">
        <f t="shared" si="5"/>
        <v>0</v>
      </c>
      <c r="K24" s="198">
        <f t="shared" si="6"/>
        <v>0</v>
      </c>
      <c r="L24" s="196"/>
      <c r="M24" s="196"/>
      <c r="N24" s="196"/>
      <c r="O24" s="196"/>
      <c r="P24" s="199"/>
    </row>
    <row r="25" spans="1:19" ht="31.5" customHeight="1" x14ac:dyDescent="0.2">
      <c r="A25" s="193" t="s">
        <v>375</v>
      </c>
      <c r="B25" s="318">
        <v>701501</v>
      </c>
      <c r="C25" s="194" t="s">
        <v>374</v>
      </c>
      <c r="D25" s="195"/>
      <c r="E25" s="196"/>
      <c r="F25" s="196">
        <v>1400</v>
      </c>
      <c r="G25" s="196"/>
      <c r="H25" s="196"/>
      <c r="I25" s="196"/>
      <c r="J25" s="197">
        <f t="shared" si="5"/>
        <v>0</v>
      </c>
      <c r="K25" s="198" t="e">
        <f t="shared" si="6"/>
        <v>#DIV/0!</v>
      </c>
      <c r="L25" s="196"/>
      <c r="M25" s="196"/>
      <c r="N25" s="196"/>
      <c r="O25" s="196"/>
      <c r="P25" s="199"/>
    </row>
    <row r="26" spans="1:19" ht="31.5" customHeight="1" x14ac:dyDescent="0.2">
      <c r="A26" s="193">
        <v>723130</v>
      </c>
      <c r="B26" s="318">
        <v>701603</v>
      </c>
      <c r="C26" s="194" t="s">
        <v>362</v>
      </c>
      <c r="D26" s="195"/>
      <c r="E26" s="196"/>
      <c r="F26" s="196"/>
      <c r="G26" s="196"/>
      <c r="H26" s="196">
        <v>650</v>
      </c>
      <c r="I26" s="196">
        <v>650</v>
      </c>
      <c r="J26" s="197"/>
      <c r="K26" s="198"/>
      <c r="L26" s="196"/>
      <c r="M26" s="196"/>
      <c r="N26" s="196"/>
      <c r="O26" s="196"/>
      <c r="P26" s="199"/>
    </row>
    <row r="27" spans="1:19" ht="31.5" customHeight="1" x14ac:dyDescent="0.2">
      <c r="A27" s="193" t="s">
        <v>361</v>
      </c>
      <c r="B27" s="318">
        <v>705001</v>
      </c>
      <c r="C27" s="194" t="s">
        <v>360</v>
      </c>
      <c r="D27" s="195"/>
      <c r="E27" s="196">
        <v>2154.21</v>
      </c>
      <c r="F27" s="196">
        <v>2818.48</v>
      </c>
      <c r="G27" s="196">
        <v>869.22</v>
      </c>
      <c r="H27" s="196">
        <v>925</v>
      </c>
      <c r="I27" s="196">
        <v>1000</v>
      </c>
      <c r="J27" s="197">
        <f t="shared" si="5"/>
        <v>75</v>
      </c>
      <c r="K27" s="198">
        <f t="shared" si="6"/>
        <v>8.1081081081081086E-2</v>
      </c>
      <c r="L27" s="196"/>
      <c r="M27" s="196"/>
      <c r="N27" s="196"/>
      <c r="O27" s="196"/>
      <c r="P27" s="199"/>
    </row>
    <row r="28" spans="1:19" ht="31.5" customHeight="1" x14ac:dyDescent="0.2">
      <c r="A28" s="193" t="s">
        <v>359</v>
      </c>
      <c r="B28" s="318">
        <v>705101</v>
      </c>
      <c r="C28" s="194" t="s">
        <v>358</v>
      </c>
      <c r="D28" s="195"/>
      <c r="E28" s="196">
        <v>31272.12</v>
      </c>
      <c r="F28" s="196">
        <v>33351.96</v>
      </c>
      <c r="G28" s="196">
        <v>36288.200000000004</v>
      </c>
      <c r="H28" s="196">
        <v>18593</v>
      </c>
      <c r="I28" s="196">
        <v>31000</v>
      </c>
      <c r="J28" s="197">
        <f t="shared" si="5"/>
        <v>12407</v>
      </c>
      <c r="K28" s="198">
        <f t="shared" si="6"/>
        <v>0.66729414295702683</v>
      </c>
      <c r="L28" s="196"/>
      <c r="M28" s="196"/>
      <c r="N28" s="196"/>
      <c r="O28" s="196"/>
      <c r="P28" s="199" t="s">
        <v>1044</v>
      </c>
    </row>
    <row r="29" spans="1:19" ht="31.5" customHeight="1" x14ac:dyDescent="0.2">
      <c r="A29" s="193" t="s">
        <v>357</v>
      </c>
      <c r="B29" s="318">
        <v>705002</v>
      </c>
      <c r="C29" s="194" t="s">
        <v>356</v>
      </c>
      <c r="D29" s="195"/>
      <c r="E29" s="196"/>
      <c r="F29" s="196">
        <v>638.59</v>
      </c>
      <c r="G29" s="196">
        <v>351.06</v>
      </c>
      <c r="H29" s="196">
        <v>300</v>
      </c>
      <c r="I29" s="196">
        <v>0</v>
      </c>
      <c r="J29" s="197">
        <f t="shared" si="5"/>
        <v>-300</v>
      </c>
      <c r="K29" s="198">
        <f t="shared" si="6"/>
        <v>-1</v>
      </c>
      <c r="L29" s="196">
        <v>1000</v>
      </c>
      <c r="M29" s="196"/>
      <c r="N29" s="196"/>
      <c r="O29" s="196"/>
      <c r="P29" s="199"/>
    </row>
    <row r="30" spans="1:19" ht="31.5" customHeight="1" x14ac:dyDescent="0.2">
      <c r="A30" s="193" t="s">
        <v>355</v>
      </c>
      <c r="B30" s="318">
        <v>705102</v>
      </c>
      <c r="C30" s="194" t="s">
        <v>354</v>
      </c>
      <c r="D30" s="195"/>
      <c r="E30" s="196">
        <v>3718.9900000000002</v>
      </c>
      <c r="F30" s="196">
        <v>1796.46</v>
      </c>
      <c r="G30" s="196">
        <v>1392.43</v>
      </c>
      <c r="H30" s="196"/>
      <c r="I30" s="196"/>
      <c r="J30" s="197">
        <f t="shared" si="5"/>
        <v>0</v>
      </c>
      <c r="K30" s="198" t="e">
        <f t="shared" si="6"/>
        <v>#DIV/0!</v>
      </c>
      <c r="L30" s="196">
        <v>3000</v>
      </c>
      <c r="M30" s="196"/>
      <c r="N30" s="196"/>
      <c r="O30" s="196"/>
      <c r="P30" s="199"/>
    </row>
    <row r="31" spans="1:19" ht="31.5" customHeight="1" x14ac:dyDescent="0.2">
      <c r="A31" s="193" t="s">
        <v>351</v>
      </c>
      <c r="B31" s="318">
        <v>705000</v>
      </c>
      <c r="C31" s="194" t="s">
        <v>350</v>
      </c>
      <c r="D31" s="195"/>
      <c r="E31" s="196"/>
      <c r="F31" s="196">
        <v>933</v>
      </c>
      <c r="G31" s="196"/>
      <c r="H31" s="196"/>
      <c r="I31" s="196"/>
      <c r="J31" s="197">
        <f t="shared" si="5"/>
        <v>0</v>
      </c>
      <c r="K31" s="198" t="e">
        <f t="shared" si="6"/>
        <v>#DIV/0!</v>
      </c>
      <c r="L31" s="196"/>
      <c r="M31" s="196"/>
      <c r="N31" s="196"/>
      <c r="O31" s="196"/>
      <c r="P31" s="199"/>
    </row>
    <row r="32" spans="1:19" ht="31.5" customHeight="1" x14ac:dyDescent="0.2">
      <c r="A32" s="193" t="s">
        <v>349</v>
      </c>
      <c r="B32" s="318">
        <v>705100</v>
      </c>
      <c r="C32" s="194" t="s">
        <v>348</v>
      </c>
      <c r="D32" s="195"/>
      <c r="E32" s="196">
        <v>902</v>
      </c>
      <c r="F32" s="196">
        <v>216.15</v>
      </c>
      <c r="G32" s="196">
        <v>-118.35000000000001</v>
      </c>
      <c r="H32" s="196"/>
      <c r="I32" s="196"/>
      <c r="J32" s="197">
        <f t="shared" ref="J32:J39" si="7">I32-H32</f>
        <v>0</v>
      </c>
      <c r="K32" s="198" t="e">
        <f t="shared" ref="K32:K39" si="8">(I32-H32)/H32</f>
        <v>#DIV/0!</v>
      </c>
      <c r="L32" s="196"/>
      <c r="M32" s="196"/>
      <c r="N32" s="196"/>
      <c r="O32" s="196"/>
      <c r="P32" s="199"/>
    </row>
    <row r="33" spans="1:16" ht="31.5" customHeight="1" x14ac:dyDescent="0.2">
      <c r="A33" s="193" t="s">
        <v>345</v>
      </c>
      <c r="B33" s="318">
        <v>705500</v>
      </c>
      <c r="C33" s="194" t="s">
        <v>344</v>
      </c>
      <c r="D33" s="195"/>
      <c r="E33" s="196">
        <v>2631.96</v>
      </c>
      <c r="F33" s="196">
        <v>1486.08</v>
      </c>
      <c r="G33" s="196">
        <v>1110.71</v>
      </c>
      <c r="H33" s="196">
        <v>1500</v>
      </c>
      <c r="I33" s="196">
        <v>2000</v>
      </c>
      <c r="J33" s="197">
        <f t="shared" si="7"/>
        <v>500</v>
      </c>
      <c r="K33" s="198">
        <f t="shared" si="8"/>
        <v>0.33333333333333331</v>
      </c>
      <c r="L33" s="196"/>
      <c r="M33" s="196"/>
      <c r="N33" s="196"/>
      <c r="O33" s="196"/>
      <c r="P33" s="199"/>
    </row>
    <row r="34" spans="1:16" ht="31.5" customHeight="1" x14ac:dyDescent="0.2">
      <c r="A34" s="193" t="s">
        <v>309</v>
      </c>
      <c r="B34" s="318">
        <v>706100</v>
      </c>
      <c r="C34" s="194" t="s">
        <v>308</v>
      </c>
      <c r="D34" s="195"/>
      <c r="E34" s="196">
        <v>0</v>
      </c>
      <c r="F34" s="196">
        <v>170.74</v>
      </c>
      <c r="G34" s="196">
        <v>21.98</v>
      </c>
      <c r="H34" s="196"/>
      <c r="I34" s="196"/>
      <c r="J34" s="197">
        <f t="shared" si="7"/>
        <v>0</v>
      </c>
      <c r="K34" s="198" t="e">
        <f t="shared" si="8"/>
        <v>#DIV/0!</v>
      </c>
      <c r="L34" s="196"/>
      <c r="M34" s="196"/>
      <c r="N34" s="196"/>
      <c r="O34" s="196"/>
      <c r="P34" s="199"/>
    </row>
    <row r="35" spans="1:16" ht="31.5" customHeight="1" x14ac:dyDescent="0.2">
      <c r="A35" s="193" t="s">
        <v>292</v>
      </c>
      <c r="B35" s="319">
        <v>706300</v>
      </c>
      <c r="C35" s="194" t="s">
        <v>13</v>
      </c>
      <c r="D35" s="195"/>
      <c r="E35" s="196"/>
      <c r="F35" s="196">
        <v>47.88</v>
      </c>
      <c r="G35" s="196"/>
      <c r="H35" s="196"/>
      <c r="I35" s="196"/>
      <c r="J35" s="197">
        <f t="shared" si="7"/>
        <v>0</v>
      </c>
      <c r="K35" s="198" t="e">
        <f t="shared" si="8"/>
        <v>#DIV/0!</v>
      </c>
      <c r="L35" s="196"/>
      <c r="M35" s="196"/>
      <c r="N35" s="196"/>
      <c r="O35" s="196"/>
      <c r="P35" s="199"/>
    </row>
    <row r="36" spans="1:16" ht="31.5" customHeight="1" x14ac:dyDescent="0.2">
      <c r="A36" s="193" t="s">
        <v>276</v>
      </c>
      <c r="B36" s="319">
        <v>706605</v>
      </c>
      <c r="C36" s="194" t="s">
        <v>275</v>
      </c>
      <c r="D36" s="195"/>
      <c r="E36" s="196">
        <v>649.12</v>
      </c>
      <c r="F36" s="196">
        <v>650.88</v>
      </c>
      <c r="G36" s="196">
        <v>54.17</v>
      </c>
      <c r="H36" s="196"/>
      <c r="I36" s="196"/>
      <c r="J36" s="197">
        <f t="shared" si="7"/>
        <v>0</v>
      </c>
      <c r="K36" s="198" t="e">
        <f t="shared" si="8"/>
        <v>#DIV/0!</v>
      </c>
      <c r="L36" s="196"/>
      <c r="M36" s="196"/>
      <c r="N36" s="196"/>
      <c r="O36" s="196"/>
      <c r="P36" s="199"/>
    </row>
    <row r="37" spans="1:16" ht="31.5" customHeight="1" x14ac:dyDescent="0.2">
      <c r="A37" s="193" t="s">
        <v>258</v>
      </c>
      <c r="B37" s="318">
        <v>707101</v>
      </c>
      <c r="C37" s="194" t="s">
        <v>257</v>
      </c>
      <c r="D37" s="195"/>
      <c r="E37" s="196"/>
      <c r="F37" s="196"/>
      <c r="G37" s="196">
        <v>1995.8300000000002</v>
      </c>
      <c r="H37" s="196">
        <v>1304.17</v>
      </c>
      <c r="I37" s="196">
        <v>1250</v>
      </c>
      <c r="J37" s="197">
        <f t="shared" si="7"/>
        <v>-54.170000000000073</v>
      </c>
      <c r="K37" s="198">
        <f t="shared" si="8"/>
        <v>-4.1535996074131491E-2</v>
      </c>
      <c r="L37" s="196"/>
      <c r="M37" s="196"/>
      <c r="N37" s="196"/>
      <c r="O37" s="196"/>
      <c r="P37" s="199"/>
    </row>
    <row r="38" spans="1:16" ht="31.5" customHeight="1" x14ac:dyDescent="0.2">
      <c r="A38" s="193" t="s">
        <v>244</v>
      </c>
      <c r="B38" s="318">
        <v>707001</v>
      </c>
      <c r="C38" s="194" t="s">
        <v>243</v>
      </c>
      <c r="D38" s="195"/>
      <c r="E38" s="196"/>
      <c r="F38" s="196">
        <v>-100</v>
      </c>
      <c r="G38" s="196"/>
      <c r="H38" s="196"/>
      <c r="I38" s="196"/>
      <c r="J38" s="197">
        <f t="shared" si="7"/>
        <v>0</v>
      </c>
      <c r="K38" s="198" t="e">
        <f t="shared" si="8"/>
        <v>#DIV/0!</v>
      </c>
      <c r="L38" s="196"/>
      <c r="M38" s="196"/>
      <c r="N38" s="196"/>
      <c r="O38" s="196"/>
      <c r="P38" s="199"/>
    </row>
    <row r="39" spans="1:16" ht="31.5" customHeight="1" x14ac:dyDescent="0.2">
      <c r="A39" s="193" t="s">
        <v>232</v>
      </c>
      <c r="B39" s="318">
        <v>707152</v>
      </c>
      <c r="C39" s="194" t="s">
        <v>231</v>
      </c>
      <c r="D39" s="195"/>
      <c r="E39" s="196">
        <v>651.5</v>
      </c>
      <c r="F39" s="196">
        <v>888.24</v>
      </c>
      <c r="G39" s="196">
        <v>838.9</v>
      </c>
      <c r="H39" s="196"/>
      <c r="I39" s="196"/>
      <c r="J39" s="197">
        <f t="shared" si="7"/>
        <v>0</v>
      </c>
      <c r="K39" s="198" t="e">
        <f t="shared" si="8"/>
        <v>#DIV/0!</v>
      </c>
      <c r="L39" s="196"/>
      <c r="M39" s="196"/>
      <c r="N39" s="196"/>
      <c r="O39" s="196"/>
      <c r="P39" s="199"/>
    </row>
    <row r="40" spans="1:16" ht="31.5" customHeight="1" x14ac:dyDescent="0.2">
      <c r="A40" s="193" t="s">
        <v>230</v>
      </c>
      <c r="B40" s="318">
        <v>707151</v>
      </c>
      <c r="C40" s="194" t="s">
        <v>15</v>
      </c>
      <c r="D40" s="195"/>
      <c r="E40" s="196">
        <v>169.68</v>
      </c>
      <c r="F40" s="196">
        <v>184.92000000000002</v>
      </c>
      <c r="G40" s="196">
        <v>187.5</v>
      </c>
      <c r="H40" s="196">
        <f>15*12</f>
        <v>180</v>
      </c>
      <c r="I40" s="196">
        <v>180</v>
      </c>
      <c r="J40" s="197">
        <f t="shared" si="5"/>
        <v>0</v>
      </c>
      <c r="K40" s="198">
        <f t="shared" si="6"/>
        <v>0</v>
      </c>
      <c r="L40" s="196"/>
      <c r="M40" s="196"/>
      <c r="N40" s="196"/>
      <c r="O40" s="196"/>
      <c r="P40" s="199"/>
    </row>
    <row r="41" spans="1:16" ht="31.5" customHeight="1" x14ac:dyDescent="0.2">
      <c r="A41" s="193" t="s">
        <v>229</v>
      </c>
      <c r="B41" s="318">
        <v>707151</v>
      </c>
      <c r="C41" s="194" t="s">
        <v>16</v>
      </c>
      <c r="D41" s="195"/>
      <c r="E41" s="196">
        <v>8.94</v>
      </c>
      <c r="F41" s="196">
        <v>3.3000000000000003</v>
      </c>
      <c r="G41" s="196">
        <v>4.9400000000000004</v>
      </c>
      <c r="H41" s="196">
        <v>5</v>
      </c>
      <c r="I41" s="196">
        <v>5</v>
      </c>
      <c r="J41" s="197">
        <f t="shared" si="5"/>
        <v>0</v>
      </c>
      <c r="K41" s="198">
        <f t="shared" si="6"/>
        <v>0</v>
      </c>
      <c r="L41" s="196"/>
      <c r="M41" s="196"/>
      <c r="N41" s="196"/>
      <c r="O41" s="196"/>
      <c r="P41" s="199"/>
    </row>
    <row r="42" spans="1:16" ht="31.5" customHeight="1" x14ac:dyDescent="0.2">
      <c r="A42" s="193" t="s">
        <v>217</v>
      </c>
      <c r="B42" s="318">
        <v>707306</v>
      </c>
      <c r="C42" s="194" t="s">
        <v>216</v>
      </c>
      <c r="D42" s="195"/>
      <c r="E42" s="196"/>
      <c r="F42" s="196">
        <v>-3.5500000000000003</v>
      </c>
      <c r="G42" s="196"/>
      <c r="H42" s="196"/>
      <c r="I42" s="196"/>
      <c r="J42" s="197">
        <f t="shared" si="5"/>
        <v>0</v>
      </c>
      <c r="K42" s="198" t="e">
        <f t="shared" si="6"/>
        <v>#DIV/0!</v>
      </c>
      <c r="L42" s="196"/>
      <c r="M42" s="196"/>
      <c r="N42" s="196"/>
      <c r="O42" s="196"/>
      <c r="P42" s="199"/>
    </row>
    <row r="43" spans="1:16" ht="31.5" customHeight="1" x14ac:dyDescent="0.2">
      <c r="A43" s="193" t="s">
        <v>203</v>
      </c>
      <c r="B43" s="318">
        <v>707301</v>
      </c>
      <c r="C43" s="194" t="s">
        <v>18</v>
      </c>
      <c r="D43" s="195"/>
      <c r="E43" s="196">
        <v>2781</v>
      </c>
      <c r="F43" s="196">
        <v>0</v>
      </c>
      <c r="G43" s="196">
        <v>468</v>
      </c>
      <c r="H43" s="196">
        <v>1304</v>
      </c>
      <c r="I43" s="196"/>
      <c r="J43" s="197">
        <f t="shared" si="5"/>
        <v>-1304</v>
      </c>
      <c r="K43" s="198">
        <f t="shared" si="6"/>
        <v>-1</v>
      </c>
      <c r="L43" s="196"/>
      <c r="M43" s="196"/>
      <c r="N43" s="196"/>
      <c r="O43" s="196"/>
      <c r="P43" s="199" t="s">
        <v>1045</v>
      </c>
    </row>
    <row r="44" spans="1:16" ht="31.5" customHeight="1" x14ac:dyDescent="0.2">
      <c r="A44" s="193" t="s">
        <v>196</v>
      </c>
      <c r="B44" s="318">
        <v>707309</v>
      </c>
      <c r="C44" s="194" t="s">
        <v>19</v>
      </c>
      <c r="D44" s="195"/>
      <c r="E44" s="196"/>
      <c r="F44" s="196">
        <v>354.38</v>
      </c>
      <c r="G44" s="196">
        <v>234.36</v>
      </c>
      <c r="H44" s="196">
        <v>300</v>
      </c>
      <c r="I44" s="196"/>
      <c r="J44" s="197">
        <f t="shared" si="5"/>
        <v>-300</v>
      </c>
      <c r="K44" s="198">
        <f t="shared" si="6"/>
        <v>-1</v>
      </c>
      <c r="L44" s="196"/>
      <c r="M44" s="196"/>
      <c r="N44" s="196"/>
      <c r="O44" s="196"/>
      <c r="P44" s="199"/>
    </row>
    <row r="45" spans="1:16" ht="31.5" customHeight="1" x14ac:dyDescent="0.2">
      <c r="A45" s="193" t="s">
        <v>193</v>
      </c>
      <c r="B45" s="318">
        <v>707307</v>
      </c>
      <c r="C45" s="194" t="s">
        <v>192</v>
      </c>
      <c r="D45" s="195"/>
      <c r="E45" s="196">
        <v>34.96</v>
      </c>
      <c r="F45" s="196"/>
      <c r="G45" s="196"/>
      <c r="H45" s="196">
        <v>200</v>
      </c>
      <c r="I45" s="196">
        <v>200</v>
      </c>
      <c r="J45" s="197">
        <f t="shared" si="5"/>
        <v>0</v>
      </c>
      <c r="K45" s="198">
        <f t="shared" si="6"/>
        <v>0</v>
      </c>
      <c r="L45" s="196"/>
      <c r="M45" s="196"/>
      <c r="N45" s="196"/>
      <c r="O45" s="196"/>
      <c r="P45" s="199"/>
    </row>
    <row r="46" spans="1:16" ht="31.5" customHeight="1" x14ac:dyDescent="0.2">
      <c r="A46" s="193" t="s">
        <v>183</v>
      </c>
      <c r="B46" s="318">
        <v>707403</v>
      </c>
      <c r="C46" s="194" t="s">
        <v>182</v>
      </c>
      <c r="D46" s="195"/>
      <c r="E46" s="196"/>
      <c r="F46" s="196"/>
      <c r="G46" s="196">
        <v>13.700000000000001</v>
      </c>
      <c r="H46" s="196"/>
      <c r="I46" s="196"/>
      <c r="J46" s="197">
        <f t="shared" si="5"/>
        <v>0</v>
      </c>
      <c r="K46" s="198" t="e">
        <f t="shared" si="6"/>
        <v>#DIV/0!</v>
      </c>
      <c r="L46" s="196"/>
      <c r="M46" s="196"/>
      <c r="N46" s="196"/>
      <c r="O46" s="196"/>
      <c r="P46" s="199"/>
    </row>
    <row r="47" spans="1:16" ht="31.5" customHeight="1" x14ac:dyDescent="0.2">
      <c r="A47" s="193" t="s">
        <v>177</v>
      </c>
      <c r="B47" s="318">
        <v>707505</v>
      </c>
      <c r="C47" s="194" t="s">
        <v>176</v>
      </c>
      <c r="D47" s="195"/>
      <c r="E47" s="196">
        <v>10.71</v>
      </c>
      <c r="F47" s="196">
        <v>270.56</v>
      </c>
      <c r="G47" s="196"/>
      <c r="H47" s="196"/>
      <c r="I47" s="196"/>
      <c r="J47" s="197">
        <f t="shared" si="5"/>
        <v>0</v>
      </c>
      <c r="K47" s="198" t="e">
        <f t="shared" si="6"/>
        <v>#DIV/0!</v>
      </c>
      <c r="L47" s="196"/>
      <c r="M47" s="196"/>
      <c r="N47" s="196"/>
      <c r="O47" s="196"/>
      <c r="P47" s="199"/>
    </row>
    <row r="48" spans="1:16" ht="31.5" customHeight="1" x14ac:dyDescent="0.2">
      <c r="A48" s="193"/>
      <c r="B48" s="193"/>
      <c r="C48" s="194"/>
      <c r="D48" s="195"/>
      <c r="E48" s="196"/>
      <c r="F48" s="196"/>
      <c r="G48" s="196"/>
      <c r="H48" s="196"/>
      <c r="I48" s="196"/>
      <c r="J48" s="197">
        <f t="shared" si="5"/>
        <v>0</v>
      </c>
      <c r="K48" s="198" t="e">
        <f t="shared" si="6"/>
        <v>#DIV/0!</v>
      </c>
      <c r="L48" s="196"/>
      <c r="M48" s="196"/>
      <c r="N48" s="196"/>
      <c r="O48" s="196"/>
      <c r="P48" s="199"/>
    </row>
    <row r="49" spans="1:16" ht="31.5" customHeight="1" x14ac:dyDescent="0.2">
      <c r="A49" s="193"/>
      <c r="B49" s="193"/>
      <c r="C49" s="194"/>
      <c r="D49" s="195"/>
      <c r="E49" s="196"/>
      <c r="F49" s="196"/>
      <c r="G49" s="196"/>
      <c r="H49" s="196"/>
      <c r="I49" s="196"/>
      <c r="J49" s="197">
        <f t="shared" si="5"/>
        <v>0</v>
      </c>
      <c r="K49" s="198" t="e">
        <f t="shared" si="6"/>
        <v>#DIV/0!</v>
      </c>
      <c r="L49" s="196"/>
      <c r="M49" s="196"/>
      <c r="N49" s="196"/>
      <c r="O49" s="196"/>
      <c r="P49" s="199"/>
    </row>
    <row r="50" spans="1:16" ht="31.5" customHeight="1" x14ac:dyDescent="0.2">
      <c r="A50" s="193"/>
      <c r="B50" s="193"/>
      <c r="C50" s="194"/>
      <c r="D50" s="195"/>
      <c r="E50" s="196"/>
      <c r="F50" s="196"/>
      <c r="G50" s="196"/>
      <c r="H50" s="196"/>
      <c r="I50" s="196"/>
      <c r="J50" s="197">
        <f t="shared" si="5"/>
        <v>0</v>
      </c>
      <c r="K50" s="198" t="e">
        <f t="shared" si="6"/>
        <v>#DIV/0!</v>
      </c>
      <c r="L50" s="196"/>
      <c r="M50" s="196"/>
      <c r="N50" s="196"/>
      <c r="O50" s="196"/>
      <c r="P50" s="199"/>
    </row>
    <row r="51" spans="1:16" ht="13.5" thickBot="1" x14ac:dyDescent="0.25">
      <c r="A51" s="200"/>
      <c r="B51" s="200"/>
      <c r="C51" s="177" t="s">
        <v>22</v>
      </c>
      <c r="D51" s="201"/>
      <c r="E51" s="180">
        <f>SUM(E21:E50)</f>
        <v>65602.820000000007</v>
      </c>
      <c r="F51" s="180">
        <f>SUM(F21:F50)</f>
        <v>63041.929999999986</v>
      </c>
      <c r="G51" s="180">
        <f>SUM(G21:G50)</f>
        <v>62327.330000000009</v>
      </c>
      <c r="H51" s="180">
        <f>SUM(H21:H50)</f>
        <v>39444.17</v>
      </c>
      <c r="I51" s="180">
        <f>SUM(I21:I50)</f>
        <v>55810</v>
      </c>
      <c r="J51" s="180">
        <f t="shared" si="5"/>
        <v>16365.830000000002</v>
      </c>
      <c r="K51" s="181">
        <f t="shared" si="6"/>
        <v>0.41491125304449306</v>
      </c>
      <c r="L51" s="180">
        <f>SUM(L21:L50)</f>
        <v>4000</v>
      </c>
      <c r="M51" s="180">
        <f>SUM(M21:M50)</f>
        <v>0</v>
      </c>
      <c r="N51" s="180">
        <f>SUM(N21:N50)</f>
        <v>0</v>
      </c>
      <c r="O51" s="180">
        <f>SUM(O21:O50)</f>
        <v>1674</v>
      </c>
      <c r="P51" s="202"/>
    </row>
    <row r="52" spans="1:16" ht="13.5" thickBot="1" x14ac:dyDescent="0.25">
      <c r="A52" s="203"/>
      <c r="B52" s="203"/>
      <c r="C52" s="204" t="s">
        <v>702</v>
      </c>
      <c r="D52" s="205"/>
      <c r="E52" s="206">
        <f>E18+E51</f>
        <v>91592.82</v>
      </c>
      <c r="F52" s="206">
        <f>F18+F51</f>
        <v>79254.169999999984</v>
      </c>
      <c r="G52" s="206">
        <f>G18+G51</f>
        <v>76798.510000000009</v>
      </c>
      <c r="H52" s="206">
        <f>H18+H51</f>
        <v>61342.17</v>
      </c>
      <c r="I52" s="206">
        <f>I18+I51</f>
        <v>82810</v>
      </c>
      <c r="J52" s="206">
        <f>I52-H52</f>
        <v>21467.83</v>
      </c>
      <c r="K52" s="207">
        <f>(I52-H52)/H52</f>
        <v>0.34996854529274074</v>
      </c>
      <c r="L52" s="206">
        <f>L18+L51</f>
        <v>4000</v>
      </c>
      <c r="M52" s="206">
        <f>M18+M51</f>
        <v>0</v>
      </c>
      <c r="N52" s="206">
        <f>N18+N51</f>
        <v>0</v>
      </c>
      <c r="O52" s="206">
        <f>O18+O51</f>
        <v>1674</v>
      </c>
      <c r="P52" s="208"/>
    </row>
    <row r="53" spans="1:16" x14ac:dyDescent="0.2">
      <c r="A53" s="203"/>
      <c r="B53" s="203"/>
      <c r="C53" s="209" t="s">
        <v>698</v>
      </c>
      <c r="D53" s="210"/>
      <c r="E53" s="211"/>
      <c r="F53" s="211"/>
      <c r="G53" s="211"/>
      <c r="H53" s="212">
        <v>0</v>
      </c>
      <c r="I53" s="213"/>
      <c r="J53" s="213"/>
      <c r="K53" s="214"/>
      <c r="L53" s="213"/>
      <c r="M53" s="213"/>
      <c r="N53" s="213"/>
      <c r="O53" s="213"/>
      <c r="P53" s="215"/>
    </row>
    <row r="54" spans="1:16" x14ac:dyDescent="0.2">
      <c r="A54" s="203"/>
      <c r="B54" s="203"/>
      <c r="C54" s="183" t="s">
        <v>699</v>
      </c>
      <c r="D54" s="184"/>
      <c r="E54" s="216"/>
      <c r="F54" s="216"/>
      <c r="G54" s="216"/>
      <c r="H54" s="185">
        <f>64728</f>
        <v>64728</v>
      </c>
      <c r="I54" s="217"/>
      <c r="J54" s="217"/>
      <c r="K54" s="218"/>
      <c r="L54" s="217"/>
      <c r="M54" s="217"/>
      <c r="N54" s="217"/>
      <c r="O54" s="217"/>
      <c r="P54" s="219"/>
    </row>
    <row r="55" spans="1:16" x14ac:dyDescent="0.2">
      <c r="A55" s="203"/>
      <c r="B55" s="203"/>
      <c r="C55" s="183" t="s">
        <v>700</v>
      </c>
      <c r="D55" s="184"/>
      <c r="E55" s="216"/>
      <c r="F55" s="216"/>
      <c r="G55" s="216"/>
      <c r="H55" s="220">
        <f>H53-H10</f>
        <v>0</v>
      </c>
      <c r="I55" s="217"/>
      <c r="J55" s="217"/>
      <c r="K55" s="218"/>
      <c r="L55" s="217"/>
      <c r="M55" s="217"/>
      <c r="N55" s="217"/>
      <c r="O55" s="217"/>
      <c r="P55" s="219"/>
    </row>
    <row r="56" spans="1:16" x14ac:dyDescent="0.2">
      <c r="A56" s="221"/>
      <c r="B56" s="221"/>
      <c r="C56" s="183" t="s">
        <v>701</v>
      </c>
      <c r="D56" s="184"/>
      <c r="E56" s="217"/>
      <c r="F56" s="217"/>
      <c r="G56" s="217"/>
      <c r="H56" s="220">
        <f>H54-H52</f>
        <v>3385.8300000000017</v>
      </c>
      <c r="I56" s="217"/>
      <c r="J56" s="217"/>
      <c r="K56" s="218"/>
      <c r="L56" s="217"/>
      <c r="M56" s="217"/>
      <c r="N56" s="217"/>
      <c r="O56" s="217"/>
      <c r="P56" s="219"/>
    </row>
    <row r="58" spans="1:16" s="157" customFormat="1" ht="27" customHeight="1" thickBot="1" x14ac:dyDescent="0.25">
      <c r="A58" s="158" t="s">
        <v>687</v>
      </c>
      <c r="B58" s="158" t="s">
        <v>687</v>
      </c>
      <c r="M58" s="406" t="s">
        <v>690</v>
      </c>
      <c r="N58" s="406"/>
      <c r="O58" s="406"/>
    </row>
    <row r="59" spans="1:16" s="157" customFormat="1" ht="51.75" thickBot="1" x14ac:dyDescent="0.25">
      <c r="A59" s="225"/>
      <c r="B59" s="225"/>
      <c r="C59" s="229" t="s">
        <v>633</v>
      </c>
      <c r="D59" s="249"/>
      <c r="E59" s="234" t="s">
        <v>749</v>
      </c>
      <c r="F59" s="234" t="s">
        <v>750</v>
      </c>
      <c r="G59" s="234" t="s">
        <v>751</v>
      </c>
      <c r="H59" s="294" t="s">
        <v>747</v>
      </c>
      <c r="I59" s="234" t="s">
        <v>748</v>
      </c>
      <c r="J59" s="234" t="s">
        <v>745</v>
      </c>
      <c r="K59" s="295" t="s">
        <v>641</v>
      </c>
      <c r="M59" s="145"/>
      <c r="N59" s="145" t="s">
        <v>693</v>
      </c>
      <c r="O59" s="145" t="s">
        <v>694</v>
      </c>
    </row>
    <row r="60" spans="1:16" s="157" customFormat="1" x14ac:dyDescent="0.2">
      <c r="A60" s="225"/>
      <c r="B60" s="225"/>
      <c r="C60" s="194" t="s">
        <v>1041</v>
      </c>
      <c r="D60" s="336"/>
      <c r="E60" s="226"/>
      <c r="F60" s="226"/>
      <c r="G60" s="226"/>
      <c r="H60" s="226">
        <v>3000</v>
      </c>
      <c r="I60" s="226">
        <v>5000</v>
      </c>
      <c r="J60" s="227">
        <f>I60-H60</f>
        <v>2000</v>
      </c>
      <c r="K60" s="228">
        <f>(I60-H60)/H60</f>
        <v>0.66666666666666663</v>
      </c>
      <c r="M60" s="146" t="s">
        <v>691</v>
      </c>
      <c r="N60" s="146">
        <v>1</v>
      </c>
      <c r="O60" s="146">
        <v>0</v>
      </c>
    </row>
    <row r="61" spans="1:16" s="157" customFormat="1" x14ac:dyDescent="0.2">
      <c r="M61" s="146" t="s">
        <v>692</v>
      </c>
      <c r="N61" s="146"/>
      <c r="O61" s="146"/>
    </row>
    <row r="62" spans="1:16" s="157" customFormat="1" x14ac:dyDescent="0.2">
      <c r="M62" s="146" t="s">
        <v>23</v>
      </c>
      <c r="N62" s="146">
        <f>SUM(N60:N61)</f>
        <v>1</v>
      </c>
      <c r="O62" s="146">
        <f>SUM(O60:O61)</f>
        <v>0</v>
      </c>
    </row>
    <row r="63" spans="1:16" s="157" customFormat="1" x14ac:dyDescent="0.2"/>
    <row r="64" spans="1:16" s="157" customFormat="1" x14ac:dyDescent="0.2"/>
    <row r="65" s="157" customFormat="1" x14ac:dyDescent="0.2"/>
  </sheetData>
  <mergeCells count="2">
    <mergeCell ref="L3:N3"/>
    <mergeCell ref="M58:O58"/>
  </mergeCells>
  <pageMargins left="0.25" right="0.25" top="0.67708333333333304" bottom="0.35416666666666702" header="0.3" footer="0.3"/>
  <pageSetup paperSize="17" scale="75" orientation="landscape" r:id="rId1"/>
  <headerFooter>
    <oddHeader>&amp;C&amp;"Calibri,Bold"&amp;A</oddHeader>
    <oddFooter>&amp;Rprinted:  &amp;D&amp;T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9"/>
  <sheetViews>
    <sheetView showGridLines="0" topLeftCell="A34"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867</v>
      </c>
      <c r="O1" s="164"/>
    </row>
    <row r="2" spans="1:19" ht="23.25" customHeight="1" thickBot="1" x14ac:dyDescent="0.3">
      <c r="A2" s="290" t="s">
        <v>810</v>
      </c>
      <c r="B2" s="232"/>
      <c r="C2" s="292" t="s">
        <v>868</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132331.13+58985.67</f>
        <v>191316.8</v>
      </c>
      <c r="F6" s="171">
        <f>132446.59+59667.99+476.93</f>
        <v>192591.50999999998</v>
      </c>
      <c r="G6" s="171">
        <f>130983.43+58753.58</f>
        <v>189737.01</v>
      </c>
      <c r="H6" s="171">
        <f>SUM('FT Salaries'!E87)</f>
        <v>184147.91367344139</v>
      </c>
      <c r="I6" s="172">
        <f>SUM(H6)</f>
        <v>184147.91367344139</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191316.8</v>
      </c>
      <c r="F8" s="179">
        <f>SUM(F6:F7)</f>
        <v>192591.50999999998</v>
      </c>
      <c r="G8" s="179">
        <f>SUM(G6:G7)</f>
        <v>189737.01</v>
      </c>
      <c r="H8" s="179">
        <f>SUM(H6:H7)</f>
        <v>184147.91367344139</v>
      </c>
      <c r="I8" s="179">
        <f>SUM(I6:I7)</f>
        <v>184147.91367344139</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5991.3</v>
      </c>
      <c r="F12" s="171">
        <v>5991.3</v>
      </c>
      <c r="G12" s="171">
        <v>5995.08</v>
      </c>
      <c r="H12" s="171">
        <v>6000</v>
      </c>
      <c r="I12" s="172">
        <v>6000</v>
      </c>
      <c r="J12" s="173">
        <f t="shared" si="1"/>
        <v>0</v>
      </c>
      <c r="K12" s="174">
        <f t="shared" ref="K12:K18" si="2">(I12-H12)/H12</f>
        <v>0</v>
      </c>
      <c r="L12" s="172"/>
      <c r="M12" s="175"/>
      <c r="N12" s="175"/>
      <c r="O12" s="175"/>
      <c r="P12" s="147"/>
      <c r="Q12" s="157"/>
      <c r="R12" s="157"/>
      <c r="S12" s="157"/>
    </row>
    <row r="13" spans="1:19" x14ac:dyDescent="0.2">
      <c r="A13" s="169"/>
      <c r="B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5991.3</v>
      </c>
      <c r="F18" s="185">
        <f t="shared" ref="F18:I18" si="3">SUM(F12:F17)</f>
        <v>5991.3</v>
      </c>
      <c r="G18" s="185">
        <f t="shared" si="3"/>
        <v>5995.08</v>
      </c>
      <c r="H18" s="185">
        <f t="shared" si="3"/>
        <v>6000</v>
      </c>
      <c r="I18" s="185">
        <f t="shared" si="3"/>
        <v>6000</v>
      </c>
      <c r="J18" s="185">
        <f t="shared" si="1"/>
        <v>0</v>
      </c>
      <c r="K18" s="186">
        <f t="shared" si="2"/>
        <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5728.6500000000005</v>
      </c>
      <c r="F21" s="196">
        <v>6050.7</v>
      </c>
      <c r="G21" s="196">
        <v>8947.75</v>
      </c>
      <c r="H21" s="196">
        <v>9442.5</v>
      </c>
      <c r="I21" s="196">
        <v>4500</v>
      </c>
      <c r="J21" s="197">
        <f t="shared" ref="J21:J45" si="5">I21-H21</f>
        <v>-4942.5</v>
      </c>
      <c r="K21" s="198">
        <f t="shared" ref="K21:K45" si="6">(I21-H21)/H21</f>
        <v>-0.52343129467831617</v>
      </c>
      <c r="L21" s="196"/>
      <c r="M21" s="196"/>
      <c r="N21" s="196"/>
      <c r="O21" s="196"/>
      <c r="P21" s="199" t="s">
        <v>1018</v>
      </c>
    </row>
    <row r="22" spans="1:19" ht="31.5" customHeight="1" x14ac:dyDescent="0.2">
      <c r="A22" s="193" t="s">
        <v>416</v>
      </c>
      <c r="B22" s="318">
        <v>702200</v>
      </c>
      <c r="C22" s="194" t="s">
        <v>11</v>
      </c>
      <c r="D22" s="195"/>
      <c r="E22" s="196">
        <v>4598.9400000000005</v>
      </c>
      <c r="F22" s="196"/>
      <c r="G22" s="196">
        <v>860.92000000000007</v>
      </c>
      <c r="H22" s="196">
        <v>160</v>
      </c>
      <c r="I22" s="196">
        <f>15000+996</f>
        <v>15996</v>
      </c>
      <c r="J22" s="197">
        <f t="shared" si="5"/>
        <v>15836</v>
      </c>
      <c r="K22" s="198">
        <f t="shared" si="6"/>
        <v>98.974999999999994</v>
      </c>
      <c r="L22" s="196"/>
      <c r="M22" s="196"/>
      <c r="N22" s="196"/>
      <c r="O22" s="196">
        <v>1778</v>
      </c>
      <c r="P22" s="199" t="s">
        <v>1065</v>
      </c>
    </row>
    <row r="23" spans="1:19" ht="31.5" customHeight="1" x14ac:dyDescent="0.2">
      <c r="A23" s="193" t="s">
        <v>387</v>
      </c>
      <c r="B23" s="318">
        <v>701406</v>
      </c>
      <c r="C23" s="194" t="s">
        <v>386</v>
      </c>
      <c r="D23" s="195"/>
      <c r="E23" s="196">
        <v>6133.7</v>
      </c>
      <c r="F23" s="196">
        <v>7731.08</v>
      </c>
      <c r="G23" s="196">
        <v>7642</v>
      </c>
      <c r="H23" s="196">
        <v>7648.4</v>
      </c>
      <c r="I23" s="196">
        <v>6500</v>
      </c>
      <c r="J23" s="197">
        <f t="shared" si="5"/>
        <v>-1148.3999999999996</v>
      </c>
      <c r="K23" s="198">
        <f t="shared" si="6"/>
        <v>-0.15014905078186283</v>
      </c>
      <c r="L23" s="196"/>
      <c r="M23" s="196"/>
      <c r="N23" s="196"/>
      <c r="O23" s="196"/>
      <c r="P23" s="199" t="s">
        <v>1019</v>
      </c>
    </row>
    <row r="24" spans="1:19" ht="31.5" customHeight="1" x14ac:dyDescent="0.2">
      <c r="A24" s="193" t="s">
        <v>377</v>
      </c>
      <c r="B24" s="318">
        <v>701500</v>
      </c>
      <c r="C24" s="194" t="s">
        <v>376</v>
      </c>
      <c r="D24" s="195"/>
      <c r="E24" s="196">
        <v>390</v>
      </c>
      <c r="F24" s="196">
        <v>390</v>
      </c>
      <c r="G24" s="196">
        <v>390</v>
      </c>
      <c r="H24" s="196">
        <v>390</v>
      </c>
      <c r="I24" s="196">
        <v>390</v>
      </c>
      <c r="J24" s="197">
        <f t="shared" si="5"/>
        <v>0</v>
      </c>
      <c r="K24" s="198">
        <f t="shared" si="6"/>
        <v>0</v>
      </c>
      <c r="L24" s="196"/>
      <c r="M24" s="196"/>
      <c r="N24" s="196"/>
      <c r="O24" s="196"/>
      <c r="P24" s="199"/>
    </row>
    <row r="25" spans="1:19" ht="31.5" customHeight="1" x14ac:dyDescent="0.2">
      <c r="A25" s="193" t="s">
        <v>375</v>
      </c>
      <c r="B25" s="318">
        <v>701501</v>
      </c>
      <c r="C25" s="194" t="s">
        <v>374</v>
      </c>
      <c r="D25" s="195"/>
      <c r="E25" s="196"/>
      <c r="F25" s="196"/>
      <c r="G25" s="196">
        <v>1000</v>
      </c>
      <c r="H25" s="196">
        <v>400</v>
      </c>
      <c r="I25" s="196">
        <v>400</v>
      </c>
      <c r="J25" s="197">
        <f t="shared" si="5"/>
        <v>0</v>
      </c>
      <c r="K25" s="198">
        <f t="shared" si="6"/>
        <v>0</v>
      </c>
      <c r="L25" s="196"/>
      <c r="M25" s="196"/>
      <c r="N25" s="196"/>
      <c r="O25" s="196"/>
      <c r="P25" s="199"/>
    </row>
    <row r="26" spans="1:19" ht="31.5" customHeight="1" x14ac:dyDescent="0.2">
      <c r="A26" s="193" t="s">
        <v>363</v>
      </c>
      <c r="B26" s="318">
        <v>701603</v>
      </c>
      <c r="C26" s="194" t="s">
        <v>362</v>
      </c>
      <c r="D26" s="195"/>
      <c r="E26" s="196">
        <v>350</v>
      </c>
      <c r="F26" s="196">
        <v>481</v>
      </c>
      <c r="G26" s="196">
        <v>400</v>
      </c>
      <c r="H26" s="196">
        <v>650</v>
      </c>
      <c r="I26" s="196">
        <v>650</v>
      </c>
      <c r="J26" s="197">
        <f t="shared" si="5"/>
        <v>0</v>
      </c>
      <c r="K26" s="198">
        <f t="shared" si="6"/>
        <v>0</v>
      </c>
      <c r="L26" s="196"/>
      <c r="M26" s="196"/>
      <c r="N26" s="196"/>
      <c r="O26" s="196"/>
      <c r="P26" s="199"/>
    </row>
    <row r="27" spans="1:19" ht="31.5" customHeight="1" x14ac:dyDescent="0.2">
      <c r="A27" s="193" t="s">
        <v>361</v>
      </c>
      <c r="B27" s="318">
        <v>705001</v>
      </c>
      <c r="C27" s="194" t="s">
        <v>360</v>
      </c>
      <c r="D27" s="195"/>
      <c r="E27" s="196">
        <v>9216</v>
      </c>
      <c r="F27" s="196">
        <v>1586.5</v>
      </c>
      <c r="G27" s="196">
        <v>1459</v>
      </c>
      <c r="H27" s="196">
        <v>2830</v>
      </c>
      <c r="I27" s="196">
        <v>3000</v>
      </c>
      <c r="J27" s="197">
        <f t="shared" si="5"/>
        <v>170</v>
      </c>
      <c r="K27" s="198">
        <f t="shared" si="6"/>
        <v>6.0070671378091869E-2</v>
      </c>
      <c r="L27" s="196"/>
      <c r="M27" s="196"/>
      <c r="N27" s="196"/>
      <c r="O27" s="196"/>
      <c r="P27" s="199"/>
    </row>
    <row r="28" spans="1:19" ht="31.5" customHeight="1" x14ac:dyDescent="0.2">
      <c r="A28" s="193" t="s">
        <v>359</v>
      </c>
      <c r="B28" s="318">
        <v>705101</v>
      </c>
      <c r="C28" s="194" t="s">
        <v>358</v>
      </c>
      <c r="D28" s="195"/>
      <c r="E28" s="196">
        <v>11405.26</v>
      </c>
      <c r="F28" s="196">
        <v>30495</v>
      </c>
      <c r="G28" s="196">
        <v>24843.4</v>
      </c>
      <c r="H28" s="196">
        <v>26922.37</v>
      </c>
      <c r="I28" s="196">
        <v>19500</v>
      </c>
      <c r="J28" s="197">
        <f t="shared" si="5"/>
        <v>-7422.369999999999</v>
      </c>
      <c r="K28" s="198">
        <f t="shared" si="6"/>
        <v>-0.2756952675414534</v>
      </c>
      <c r="L28" s="196"/>
      <c r="M28" s="196"/>
      <c r="N28" s="196"/>
      <c r="O28" s="196"/>
      <c r="P28" s="199" t="s">
        <v>1020</v>
      </c>
    </row>
    <row r="29" spans="1:19" ht="31.5" customHeight="1" x14ac:dyDescent="0.2">
      <c r="A29" s="193" t="s">
        <v>357</v>
      </c>
      <c r="B29" s="318">
        <v>705002</v>
      </c>
      <c r="C29" s="194" t="s">
        <v>356</v>
      </c>
      <c r="D29" s="195"/>
      <c r="E29" s="196"/>
      <c r="F29" s="196">
        <v>58.050000000000004</v>
      </c>
      <c r="G29" s="196"/>
      <c r="H29" s="317"/>
      <c r="I29" s="196"/>
      <c r="J29" s="197">
        <f t="shared" si="5"/>
        <v>0</v>
      </c>
      <c r="K29" s="198" t="e">
        <f t="shared" si="6"/>
        <v>#DIV/0!</v>
      </c>
      <c r="L29" s="196">
        <v>1000</v>
      </c>
      <c r="M29" s="196"/>
      <c r="N29" s="196"/>
      <c r="O29" s="196"/>
      <c r="P29" s="199" t="s">
        <v>1021</v>
      </c>
    </row>
    <row r="30" spans="1:19" ht="31.5" customHeight="1" x14ac:dyDescent="0.2">
      <c r="A30" s="193" t="s">
        <v>355</v>
      </c>
      <c r="B30" s="318">
        <v>705102</v>
      </c>
      <c r="C30" s="194" t="s">
        <v>354</v>
      </c>
      <c r="D30" s="195"/>
      <c r="E30" s="196">
        <v>2423.23</v>
      </c>
      <c r="F30" s="196">
        <v>1271.7</v>
      </c>
      <c r="G30" s="196">
        <v>692.82</v>
      </c>
      <c r="H30" s="317">
        <v>2000</v>
      </c>
      <c r="I30" s="196"/>
      <c r="J30" s="197">
        <f t="shared" si="5"/>
        <v>-2000</v>
      </c>
      <c r="K30" s="198">
        <f t="shared" si="6"/>
        <v>-1</v>
      </c>
      <c r="L30" s="196">
        <v>3000</v>
      </c>
      <c r="M30" s="196"/>
      <c r="N30" s="196"/>
      <c r="O30" s="196"/>
      <c r="P30" s="199" t="s">
        <v>1022</v>
      </c>
    </row>
    <row r="31" spans="1:19" ht="31.5" customHeight="1" x14ac:dyDescent="0.2">
      <c r="A31" s="193" t="s">
        <v>349</v>
      </c>
      <c r="B31" s="318">
        <v>705100</v>
      </c>
      <c r="C31" s="194" t="s">
        <v>348</v>
      </c>
      <c r="D31" s="195"/>
      <c r="E31" s="196">
        <v>0</v>
      </c>
      <c r="F31" s="196">
        <v>0</v>
      </c>
      <c r="G31" s="196">
        <v>134.47</v>
      </c>
      <c r="H31" s="196"/>
      <c r="I31" s="196"/>
      <c r="J31" s="197">
        <f t="shared" si="5"/>
        <v>0</v>
      </c>
      <c r="K31" s="198" t="e">
        <f t="shared" si="6"/>
        <v>#DIV/0!</v>
      </c>
      <c r="L31" s="196"/>
      <c r="M31" s="196"/>
      <c r="N31" s="196"/>
      <c r="O31" s="196"/>
      <c r="P31" s="199"/>
    </row>
    <row r="32" spans="1:19" ht="31.5" customHeight="1" x14ac:dyDescent="0.2">
      <c r="A32" s="193" t="s">
        <v>345</v>
      </c>
      <c r="B32" s="318">
        <v>705500</v>
      </c>
      <c r="C32" s="194" t="s">
        <v>344</v>
      </c>
      <c r="D32" s="195"/>
      <c r="E32" s="196">
        <v>1956.8</v>
      </c>
      <c r="F32" s="196">
        <v>1812.4</v>
      </c>
      <c r="G32" s="196">
        <v>2411.5500000000002</v>
      </c>
      <c r="H32" s="196">
        <v>1708.7</v>
      </c>
      <c r="I32" s="196">
        <v>1500</v>
      </c>
      <c r="J32" s="197">
        <f t="shared" si="5"/>
        <v>-208.70000000000005</v>
      </c>
      <c r="K32" s="198">
        <f t="shared" si="6"/>
        <v>-0.122139638321531</v>
      </c>
      <c r="L32" s="196"/>
      <c r="M32" s="196"/>
      <c r="N32" s="196"/>
      <c r="O32" s="196"/>
      <c r="P32" s="199"/>
    </row>
    <row r="33" spans="1:16" ht="31.5" customHeight="1" x14ac:dyDescent="0.2">
      <c r="A33" s="193" t="s">
        <v>276</v>
      </c>
      <c r="B33" s="319">
        <v>706605</v>
      </c>
      <c r="C33" s="194" t="s">
        <v>275</v>
      </c>
      <c r="D33" s="195"/>
      <c r="E33" s="196">
        <v>649.12</v>
      </c>
      <c r="F33" s="196">
        <v>650.88</v>
      </c>
      <c r="G33" s="196">
        <v>54.17</v>
      </c>
      <c r="H33" s="196"/>
      <c r="I33" s="196"/>
      <c r="J33" s="197">
        <f t="shared" si="5"/>
        <v>0</v>
      </c>
      <c r="K33" s="198" t="e">
        <f t="shared" si="6"/>
        <v>#DIV/0!</v>
      </c>
      <c r="L33" s="196"/>
      <c r="M33" s="196"/>
      <c r="N33" s="196"/>
      <c r="O33" s="196"/>
      <c r="P33" s="199"/>
    </row>
    <row r="34" spans="1:16" ht="31.5" customHeight="1" x14ac:dyDescent="0.2">
      <c r="A34" s="193" t="s">
        <v>258</v>
      </c>
      <c r="B34" s="318">
        <v>707101</v>
      </c>
      <c r="C34" s="194" t="s">
        <v>257</v>
      </c>
      <c r="D34" s="195"/>
      <c r="E34" s="196"/>
      <c r="F34" s="196"/>
      <c r="G34" s="196">
        <v>595.83000000000004</v>
      </c>
      <c r="H34" s="196">
        <v>1554.17</v>
      </c>
      <c r="I34" s="196">
        <v>1554</v>
      </c>
      <c r="J34" s="197">
        <f t="shared" si="5"/>
        <v>-0.17000000000007276</v>
      </c>
      <c r="K34" s="198">
        <f t="shared" si="6"/>
        <v>-1.0938314341421644E-4</v>
      </c>
      <c r="L34" s="196"/>
      <c r="M34" s="196"/>
      <c r="N34" s="196"/>
      <c r="O34" s="196"/>
      <c r="P34" s="199"/>
    </row>
    <row r="35" spans="1:16" ht="31.5" customHeight="1" x14ac:dyDescent="0.2">
      <c r="A35" s="193" t="s">
        <v>230</v>
      </c>
      <c r="B35" s="318">
        <v>707151</v>
      </c>
      <c r="C35" s="194" t="s">
        <v>15</v>
      </c>
      <c r="D35" s="195"/>
      <c r="E35" s="196">
        <v>169.68</v>
      </c>
      <c r="F35" s="196">
        <v>177.42000000000002</v>
      </c>
      <c r="G35" s="196">
        <v>180</v>
      </c>
      <c r="H35" s="196">
        <f>15*12</f>
        <v>180</v>
      </c>
      <c r="I35" s="196">
        <v>180</v>
      </c>
      <c r="J35" s="197">
        <f t="shared" si="5"/>
        <v>0</v>
      </c>
      <c r="K35" s="198">
        <f t="shared" si="6"/>
        <v>0</v>
      </c>
      <c r="L35" s="196"/>
      <c r="M35" s="196"/>
      <c r="N35" s="196"/>
      <c r="O35" s="196"/>
      <c r="P35" s="199"/>
    </row>
    <row r="36" spans="1:16" ht="31.5" customHeight="1" x14ac:dyDescent="0.2">
      <c r="A36" s="193" t="s">
        <v>229</v>
      </c>
      <c r="B36" s="318">
        <v>707151</v>
      </c>
      <c r="C36" s="194" t="s">
        <v>16</v>
      </c>
      <c r="D36" s="195"/>
      <c r="E36" s="196">
        <v>25.39</v>
      </c>
      <c r="F36" s="196">
        <v>4.38</v>
      </c>
      <c r="G36" s="196">
        <v>3.0100000000000002</v>
      </c>
      <c r="H36" s="196">
        <v>5</v>
      </c>
      <c r="I36" s="196">
        <v>5</v>
      </c>
      <c r="J36" s="197">
        <f t="shared" si="5"/>
        <v>0</v>
      </c>
      <c r="K36" s="198">
        <f t="shared" si="6"/>
        <v>0</v>
      </c>
      <c r="L36" s="196"/>
      <c r="M36" s="196"/>
      <c r="N36" s="196"/>
      <c r="O36" s="196"/>
      <c r="P36" s="199"/>
    </row>
    <row r="37" spans="1:16" ht="31.5" customHeight="1" x14ac:dyDescent="0.2">
      <c r="A37" s="193" t="s">
        <v>220</v>
      </c>
      <c r="B37" s="318">
        <v>707300</v>
      </c>
      <c r="C37" s="194" t="s">
        <v>17</v>
      </c>
      <c r="D37" s="195"/>
      <c r="E37" s="196"/>
      <c r="F37" s="196"/>
      <c r="G37" s="196">
        <v>59.85</v>
      </c>
      <c r="H37" s="196"/>
      <c r="I37" s="196"/>
      <c r="J37" s="197">
        <f t="shared" si="5"/>
        <v>0</v>
      </c>
      <c r="K37" s="198" t="e">
        <f t="shared" si="6"/>
        <v>#DIV/0!</v>
      </c>
      <c r="L37" s="196"/>
      <c r="M37" s="196"/>
      <c r="N37" s="196"/>
      <c r="O37" s="196"/>
      <c r="P37" s="199"/>
    </row>
    <row r="38" spans="1:16" ht="31.5" customHeight="1" x14ac:dyDescent="0.2">
      <c r="A38" s="193" t="s">
        <v>203</v>
      </c>
      <c r="B38" s="318">
        <v>707301</v>
      </c>
      <c r="C38" s="194" t="s">
        <v>18</v>
      </c>
      <c r="D38" s="195"/>
      <c r="E38" s="196">
        <v>3428</v>
      </c>
      <c r="F38" s="196">
        <v>4325</v>
      </c>
      <c r="G38" s="196">
        <v>3588</v>
      </c>
      <c r="H38" s="196">
        <v>4840</v>
      </c>
      <c r="I38" s="196">
        <v>4840</v>
      </c>
      <c r="J38" s="197">
        <f t="shared" si="5"/>
        <v>0</v>
      </c>
      <c r="K38" s="198">
        <f t="shared" si="6"/>
        <v>0</v>
      </c>
      <c r="L38" s="196"/>
      <c r="M38" s="196"/>
      <c r="N38" s="196"/>
      <c r="O38" s="196"/>
      <c r="P38" s="199"/>
    </row>
    <row r="39" spans="1:16" ht="31.5" customHeight="1" x14ac:dyDescent="0.2">
      <c r="A39" s="193" t="s">
        <v>196</v>
      </c>
      <c r="B39" s="318">
        <v>707309</v>
      </c>
      <c r="C39" s="194" t="s">
        <v>19</v>
      </c>
      <c r="D39" s="195"/>
      <c r="E39" s="196">
        <v>914.55000000000007</v>
      </c>
      <c r="F39" s="196">
        <v>232.37</v>
      </c>
      <c r="G39" s="196">
        <v>0</v>
      </c>
      <c r="H39" s="196"/>
      <c r="I39" s="196"/>
      <c r="J39" s="197">
        <f t="shared" si="5"/>
        <v>0</v>
      </c>
      <c r="K39" s="198" t="e">
        <f t="shared" si="6"/>
        <v>#DIV/0!</v>
      </c>
      <c r="L39" s="196"/>
      <c r="M39" s="196"/>
      <c r="N39" s="196"/>
      <c r="O39" s="196"/>
      <c r="P39" s="199"/>
    </row>
    <row r="40" spans="1:16" ht="31.5" customHeight="1" x14ac:dyDescent="0.2">
      <c r="A40" s="193" t="s">
        <v>193</v>
      </c>
      <c r="B40" s="318">
        <v>707307</v>
      </c>
      <c r="C40" s="194" t="s">
        <v>192</v>
      </c>
      <c r="D40" s="195"/>
      <c r="E40" s="196"/>
      <c r="F40" s="196"/>
      <c r="G40" s="196">
        <v>215.86</v>
      </c>
      <c r="H40" s="196"/>
      <c r="I40" s="196">
        <v>250</v>
      </c>
      <c r="J40" s="197">
        <f t="shared" si="5"/>
        <v>250</v>
      </c>
      <c r="K40" s="198" t="e">
        <f t="shared" si="6"/>
        <v>#DIV/0!</v>
      </c>
      <c r="L40" s="196"/>
      <c r="M40" s="196"/>
      <c r="N40" s="196"/>
      <c r="O40" s="196"/>
      <c r="P40" s="199"/>
    </row>
    <row r="41" spans="1:16" ht="31.5" customHeight="1" x14ac:dyDescent="0.2">
      <c r="A41" s="193"/>
      <c r="B41" s="193"/>
      <c r="C41" s="194"/>
      <c r="D41" s="195"/>
      <c r="E41" s="196"/>
      <c r="F41" s="196"/>
      <c r="G41" s="196"/>
      <c r="H41" s="196"/>
      <c r="I41" s="196"/>
      <c r="J41" s="197">
        <f t="shared" si="5"/>
        <v>0</v>
      </c>
      <c r="K41" s="198" t="e">
        <f t="shared" si="6"/>
        <v>#DIV/0!</v>
      </c>
      <c r="L41" s="196"/>
      <c r="M41" s="196"/>
      <c r="N41" s="196"/>
      <c r="O41" s="196"/>
      <c r="P41" s="199"/>
    </row>
    <row r="42" spans="1:16" ht="31.5" customHeight="1" x14ac:dyDescent="0.2">
      <c r="A42" s="193"/>
      <c r="B42" s="193"/>
      <c r="C42" s="194"/>
      <c r="D42" s="195"/>
      <c r="E42" s="196"/>
      <c r="F42" s="196"/>
      <c r="G42" s="196"/>
      <c r="H42" s="196"/>
      <c r="I42" s="196"/>
      <c r="J42" s="197">
        <f t="shared" si="5"/>
        <v>0</v>
      </c>
      <c r="K42" s="198" t="e">
        <f t="shared" si="6"/>
        <v>#DIV/0!</v>
      </c>
      <c r="L42" s="196"/>
      <c r="M42" s="196"/>
      <c r="N42" s="196"/>
      <c r="O42" s="196"/>
      <c r="P42" s="199"/>
    </row>
    <row r="43" spans="1:16" ht="31.5" customHeight="1" x14ac:dyDescent="0.2">
      <c r="A43" s="193"/>
      <c r="B43" s="193"/>
      <c r="C43" s="194"/>
      <c r="D43" s="195"/>
      <c r="E43" s="196"/>
      <c r="F43" s="196"/>
      <c r="G43" s="196"/>
      <c r="H43" s="196"/>
      <c r="I43" s="196"/>
      <c r="J43" s="197">
        <f t="shared" si="5"/>
        <v>0</v>
      </c>
      <c r="K43" s="198" t="e">
        <f t="shared" si="6"/>
        <v>#DIV/0!</v>
      </c>
      <c r="L43" s="196"/>
      <c r="M43" s="196"/>
      <c r="N43" s="196"/>
      <c r="O43" s="196"/>
      <c r="P43" s="199"/>
    </row>
    <row r="44" spans="1:16" ht="31.5" customHeight="1" x14ac:dyDescent="0.2">
      <c r="A44" s="193"/>
      <c r="B44" s="193"/>
      <c r="C44" s="194"/>
      <c r="D44" s="195"/>
      <c r="E44" s="196"/>
      <c r="F44" s="196"/>
      <c r="G44" s="196"/>
      <c r="H44" s="196"/>
      <c r="I44" s="196"/>
      <c r="J44" s="197">
        <f t="shared" si="5"/>
        <v>0</v>
      </c>
      <c r="K44" s="198" t="e">
        <f t="shared" si="6"/>
        <v>#DIV/0!</v>
      </c>
      <c r="L44" s="196"/>
      <c r="M44" s="196"/>
      <c r="N44" s="196"/>
      <c r="O44" s="196"/>
      <c r="P44" s="199"/>
    </row>
    <row r="45" spans="1:16" ht="13.5" thickBot="1" x14ac:dyDescent="0.25">
      <c r="A45" s="200"/>
      <c r="B45" s="200"/>
      <c r="C45" s="177" t="s">
        <v>22</v>
      </c>
      <c r="D45" s="201"/>
      <c r="E45" s="180">
        <f>SUM(E21:E44)</f>
        <v>47389.320000000014</v>
      </c>
      <c r="F45" s="180">
        <f>SUM(F21:F44)</f>
        <v>55266.479999999996</v>
      </c>
      <c r="G45" s="180">
        <f>SUM(G21:G44)</f>
        <v>53478.630000000005</v>
      </c>
      <c r="H45" s="180">
        <f>SUM(H21:H44)</f>
        <v>58731.14</v>
      </c>
      <c r="I45" s="180">
        <f>SUM(I21:I44)</f>
        <v>59265</v>
      </c>
      <c r="J45" s="180">
        <f t="shared" si="5"/>
        <v>533.86000000000058</v>
      </c>
      <c r="K45" s="181">
        <f t="shared" si="6"/>
        <v>9.0898967736706728E-3</v>
      </c>
      <c r="L45" s="180">
        <f>SUM(L21:L44)</f>
        <v>4000</v>
      </c>
      <c r="M45" s="180">
        <f>SUM(M21:M44)</f>
        <v>0</v>
      </c>
      <c r="N45" s="180">
        <f>SUM(N21:N44)</f>
        <v>0</v>
      </c>
      <c r="O45" s="180">
        <f>SUM(O21:O44)</f>
        <v>1778</v>
      </c>
      <c r="P45" s="202"/>
    </row>
    <row r="46" spans="1:16" ht="13.5" thickBot="1" x14ac:dyDescent="0.25">
      <c r="A46" s="203"/>
      <c r="B46" s="203"/>
      <c r="C46" s="204" t="s">
        <v>702</v>
      </c>
      <c r="D46" s="205"/>
      <c r="E46" s="206">
        <f>E18+E45</f>
        <v>53380.620000000017</v>
      </c>
      <c r="F46" s="206">
        <f>F18+F45</f>
        <v>61257.78</v>
      </c>
      <c r="G46" s="206">
        <f>G18+G45</f>
        <v>59473.710000000006</v>
      </c>
      <c r="H46" s="206">
        <f>H18+H45</f>
        <v>64731.14</v>
      </c>
      <c r="I46" s="206">
        <f>I18+I45</f>
        <v>65265</v>
      </c>
      <c r="J46" s="206">
        <f>I46-H46</f>
        <v>533.86000000000058</v>
      </c>
      <c r="K46" s="207">
        <f>(I46-H46)/H46</f>
        <v>8.2473443229950927E-3</v>
      </c>
      <c r="L46" s="206">
        <f>L18+L45</f>
        <v>4000</v>
      </c>
      <c r="M46" s="206">
        <f>M18+M45</f>
        <v>0</v>
      </c>
      <c r="N46" s="206">
        <f>N18+N45</f>
        <v>0</v>
      </c>
      <c r="O46" s="206">
        <f>O18+O45</f>
        <v>1778</v>
      </c>
      <c r="P46" s="208"/>
    </row>
    <row r="47" spans="1:16" x14ac:dyDescent="0.2">
      <c r="A47" s="203"/>
      <c r="B47" s="203"/>
      <c r="C47" s="209" t="s">
        <v>698</v>
      </c>
      <c r="D47" s="210"/>
      <c r="E47" s="211"/>
      <c r="F47" s="211"/>
      <c r="G47" s="211"/>
      <c r="H47" s="212">
        <v>0</v>
      </c>
      <c r="I47" s="213"/>
      <c r="J47" s="213"/>
      <c r="K47" s="214"/>
      <c r="L47" s="213"/>
      <c r="M47" s="213"/>
      <c r="N47" s="213"/>
      <c r="O47" s="213"/>
      <c r="P47" s="215"/>
    </row>
    <row r="48" spans="1:16" x14ac:dyDescent="0.2">
      <c r="A48" s="203"/>
      <c r="B48" s="203"/>
      <c r="C48" s="183" t="s">
        <v>699</v>
      </c>
      <c r="D48" s="184"/>
      <c r="E48" s="216"/>
      <c r="F48" s="216"/>
      <c r="G48" s="216"/>
      <c r="H48" s="185">
        <f>43749</f>
        <v>43749</v>
      </c>
      <c r="I48" s="217"/>
      <c r="J48" s="217"/>
      <c r="K48" s="218"/>
      <c r="L48" s="217"/>
      <c r="M48" s="217"/>
      <c r="N48" s="217"/>
      <c r="O48" s="217"/>
      <c r="P48" s="219"/>
    </row>
    <row r="49" spans="1:16" x14ac:dyDescent="0.2">
      <c r="A49" s="203"/>
      <c r="B49" s="203"/>
      <c r="C49" s="183" t="s">
        <v>700</v>
      </c>
      <c r="D49" s="184"/>
      <c r="E49" s="216"/>
      <c r="F49" s="216"/>
      <c r="G49" s="216"/>
      <c r="H49" s="220">
        <f>H47-H10</f>
        <v>0</v>
      </c>
      <c r="I49" s="217"/>
      <c r="J49" s="217"/>
      <c r="K49" s="218"/>
      <c r="L49" s="217"/>
      <c r="M49" s="217"/>
      <c r="N49" s="217"/>
      <c r="O49" s="217"/>
      <c r="P49" s="219"/>
    </row>
    <row r="50" spans="1:16" x14ac:dyDescent="0.2">
      <c r="A50" s="221"/>
      <c r="B50" s="221"/>
      <c r="C50" s="183" t="s">
        <v>701</v>
      </c>
      <c r="D50" s="184"/>
      <c r="E50" s="217"/>
      <c r="F50" s="217"/>
      <c r="G50" s="217"/>
      <c r="H50" s="220">
        <f>H48-H46</f>
        <v>-20982.14</v>
      </c>
      <c r="I50" s="217"/>
      <c r="J50" s="217"/>
      <c r="K50" s="218"/>
      <c r="L50" s="217"/>
      <c r="M50" s="217"/>
      <c r="N50" s="217"/>
      <c r="O50" s="217"/>
      <c r="P50" s="219"/>
    </row>
    <row r="52" spans="1:16" s="157" customFormat="1" ht="27" customHeight="1" thickBot="1" x14ac:dyDescent="0.25">
      <c r="A52" s="158" t="s">
        <v>687</v>
      </c>
      <c r="B52" s="158" t="s">
        <v>687</v>
      </c>
      <c r="M52" s="406" t="s">
        <v>690</v>
      </c>
      <c r="N52" s="406"/>
      <c r="O52" s="406"/>
    </row>
    <row r="53" spans="1:16" s="157" customFormat="1" ht="51.75" thickBot="1" x14ac:dyDescent="0.25">
      <c r="A53" s="225"/>
      <c r="B53" s="225"/>
      <c r="C53" s="229" t="s">
        <v>633</v>
      </c>
      <c r="D53" s="249"/>
      <c r="E53" s="234" t="s">
        <v>749</v>
      </c>
      <c r="F53" s="234" t="s">
        <v>750</v>
      </c>
      <c r="G53" s="234" t="s">
        <v>751</v>
      </c>
      <c r="H53" s="294" t="s">
        <v>747</v>
      </c>
      <c r="I53" s="234" t="s">
        <v>748</v>
      </c>
      <c r="J53" s="234" t="s">
        <v>745</v>
      </c>
      <c r="K53" s="295" t="s">
        <v>641</v>
      </c>
      <c r="M53" s="145"/>
      <c r="N53" s="145" t="s">
        <v>693</v>
      </c>
      <c r="O53" s="145" t="s">
        <v>694</v>
      </c>
    </row>
    <row r="54" spans="1:16" s="157" customFormat="1" x14ac:dyDescent="0.2">
      <c r="A54" s="225"/>
      <c r="B54" s="225"/>
      <c r="C54" s="194" t="s">
        <v>970</v>
      </c>
      <c r="D54" s="336"/>
      <c r="E54" s="226"/>
      <c r="F54" s="226"/>
      <c r="G54" s="226"/>
      <c r="H54" s="226">
        <v>20982</v>
      </c>
      <c r="I54" s="226">
        <v>26270</v>
      </c>
      <c r="J54" s="227">
        <f>I54-H54</f>
        <v>5288</v>
      </c>
      <c r="K54" s="228">
        <f>(I54-H54)/H54</f>
        <v>0.25202554570584312</v>
      </c>
      <c r="M54" s="146" t="s">
        <v>691</v>
      </c>
      <c r="N54" s="146">
        <v>2</v>
      </c>
      <c r="O54" s="146">
        <v>0</v>
      </c>
    </row>
    <row r="55" spans="1:16" s="157" customFormat="1" x14ac:dyDescent="0.2">
      <c r="M55" s="146" t="s">
        <v>692</v>
      </c>
      <c r="N55" s="146"/>
      <c r="O55" s="146"/>
    </row>
    <row r="56" spans="1:16" s="157" customFormat="1" x14ac:dyDescent="0.2">
      <c r="M56" s="146" t="s">
        <v>23</v>
      </c>
      <c r="N56" s="146">
        <f>SUM(N54:N55)</f>
        <v>2</v>
      </c>
      <c r="O56" s="146">
        <f>SUM(O54:O55)</f>
        <v>0</v>
      </c>
    </row>
    <row r="57" spans="1:16" s="157" customFormat="1" x14ac:dyDescent="0.2"/>
    <row r="58" spans="1:16" s="157" customFormat="1" x14ac:dyDescent="0.2"/>
    <row r="59" spans="1:16" s="157" customFormat="1" x14ac:dyDescent="0.2"/>
  </sheetData>
  <mergeCells count="2">
    <mergeCell ref="L3:N3"/>
    <mergeCell ref="M52:O52"/>
  </mergeCells>
  <pageMargins left="0.25" right="0.25" top="0.42708333300000001" bottom="0.35416666699999999" header="0.3" footer="0.3"/>
  <pageSetup paperSize="5" scale="65" orientation="landscape" r:id="rId1"/>
  <headerFooter>
    <oddHeader>&amp;C&amp;"Calibri,Bold"&amp;A</oddHeader>
    <oddFooter>&amp;Rprinted:  &amp;D&amp;T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5"/>
  <sheetViews>
    <sheetView showGridLines="0" topLeftCell="A31"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869</v>
      </c>
      <c r="O1" s="164"/>
    </row>
    <row r="2" spans="1:19" ht="23.25" customHeight="1" thickBot="1" x14ac:dyDescent="0.3">
      <c r="A2" s="290" t="s">
        <v>810</v>
      </c>
      <c r="B2" s="232"/>
      <c r="C2" s="292" t="s">
        <v>870</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79637.38+38103.59</f>
        <v>117740.97</v>
      </c>
      <c r="F6" s="171">
        <f>76013.64+51000.18</f>
        <v>127013.82</v>
      </c>
      <c r="G6" s="171">
        <f>74848.6+50218.57</f>
        <v>125067.17000000001</v>
      </c>
      <c r="H6" s="171">
        <f>SUM('FT Salaries'!E91)</f>
        <v>127014</v>
      </c>
      <c r="I6" s="172">
        <f>SUM(H6)</f>
        <v>127014</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117740.97</v>
      </c>
      <c r="F8" s="179">
        <f>SUM(F6:F7)</f>
        <v>127013.82</v>
      </c>
      <c r="G8" s="179">
        <f>SUM(G6:G7)</f>
        <v>125067.17000000001</v>
      </c>
      <c r="H8" s="179">
        <f>SUM(H6:H7)</f>
        <v>127014</v>
      </c>
      <c r="I8" s="179">
        <f>SUM(I6:I7)</f>
        <v>127014</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3000</v>
      </c>
      <c r="F12" s="171"/>
      <c r="G12" s="171"/>
      <c r="H12" s="171"/>
      <c r="I12" s="172"/>
      <c r="J12" s="173">
        <f t="shared" si="1"/>
        <v>0</v>
      </c>
      <c r="K12" s="174" t="e">
        <f t="shared" ref="K12:K18" si="2">(I12-H12)/H12</f>
        <v>#DIV/0!</v>
      </c>
      <c r="L12" s="172"/>
      <c r="M12" s="175"/>
      <c r="N12" s="175"/>
      <c r="O12" s="175"/>
      <c r="P12" s="147"/>
      <c r="Q12" s="157"/>
      <c r="R12" s="157"/>
      <c r="S12" s="157"/>
    </row>
    <row r="13" spans="1:19" x14ac:dyDescent="0.2">
      <c r="A13" s="169" t="s">
        <v>591</v>
      </c>
      <c r="B13" s="318">
        <v>601307</v>
      </c>
      <c r="C13" s="146" t="s">
        <v>590</v>
      </c>
      <c r="D13" s="170"/>
      <c r="E13" s="171">
        <v>1480.22</v>
      </c>
      <c r="F13" s="171">
        <v>1495.48</v>
      </c>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4480.22</v>
      </c>
      <c r="F18" s="185">
        <f t="shared" ref="F18:I18" si="3">SUM(F12:F17)</f>
        <v>1495.48</v>
      </c>
      <c r="G18" s="185">
        <f t="shared" si="3"/>
        <v>0</v>
      </c>
      <c r="H18" s="185">
        <f t="shared" si="3"/>
        <v>0</v>
      </c>
      <c r="I18" s="185">
        <f t="shared" si="3"/>
        <v>0</v>
      </c>
      <c r="J18" s="185">
        <f t="shared" si="1"/>
        <v>0</v>
      </c>
      <c r="K18" s="186" t="e">
        <f t="shared" si="2"/>
        <v>#DIV/0!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76.5" x14ac:dyDescent="0.2">
      <c r="A21" s="193" t="s">
        <v>416</v>
      </c>
      <c r="B21" s="318">
        <v>702200</v>
      </c>
      <c r="C21" s="194" t="s">
        <v>11</v>
      </c>
      <c r="D21" s="195"/>
      <c r="E21" s="196">
        <v>16840.25</v>
      </c>
      <c r="F21" s="196">
        <v>5278</v>
      </c>
      <c r="G21" s="196">
        <v>7011.4000000000005</v>
      </c>
      <c r="H21" s="317">
        <v>7161</v>
      </c>
      <c r="I21" s="196">
        <f>7161+6500+700+1000</f>
        <v>15361</v>
      </c>
      <c r="J21" s="197">
        <f t="shared" ref="J21:J41" si="5">I21-H21</f>
        <v>8200</v>
      </c>
      <c r="K21" s="198">
        <f t="shared" ref="K21:K41" si="6">(I21-H21)/H21</f>
        <v>1.1450914676721129</v>
      </c>
      <c r="L21" s="196"/>
      <c r="M21" s="196"/>
      <c r="N21" s="196"/>
      <c r="O21" s="196">
        <v>168</v>
      </c>
      <c r="P21" s="199" t="s">
        <v>1064</v>
      </c>
    </row>
    <row r="22" spans="1:19" ht="31.5" customHeight="1" x14ac:dyDescent="0.2">
      <c r="A22" s="193" t="s">
        <v>387</v>
      </c>
      <c r="B22" s="318">
        <v>701406</v>
      </c>
      <c r="C22" s="194" t="s">
        <v>386</v>
      </c>
      <c r="D22" s="195"/>
      <c r="E22" s="196">
        <v>5765</v>
      </c>
      <c r="F22" s="196">
        <v>4943</v>
      </c>
      <c r="G22" s="196">
        <v>5670</v>
      </c>
      <c r="H22" s="317">
        <v>5800</v>
      </c>
      <c r="I22" s="196">
        <v>5800</v>
      </c>
      <c r="J22" s="197">
        <f t="shared" si="5"/>
        <v>0</v>
      </c>
      <c r="K22" s="198">
        <f t="shared" si="6"/>
        <v>0</v>
      </c>
      <c r="L22" s="196"/>
      <c r="M22" s="196"/>
      <c r="N22" s="196"/>
      <c r="O22" s="196"/>
      <c r="P22" s="199"/>
    </row>
    <row r="23" spans="1:19" ht="31.5" customHeight="1" x14ac:dyDescent="0.2">
      <c r="A23" s="193" t="s">
        <v>377</v>
      </c>
      <c r="B23" s="318">
        <v>701500</v>
      </c>
      <c r="C23" s="194" t="s">
        <v>376</v>
      </c>
      <c r="D23" s="195"/>
      <c r="E23" s="196"/>
      <c r="F23" s="196">
        <v>320</v>
      </c>
      <c r="G23" s="196"/>
      <c r="H23" s="317">
        <v>320</v>
      </c>
      <c r="I23" s="196">
        <v>320</v>
      </c>
      <c r="J23" s="197">
        <f t="shared" si="5"/>
        <v>0</v>
      </c>
      <c r="K23" s="198">
        <f t="shared" si="6"/>
        <v>0</v>
      </c>
      <c r="L23" s="196"/>
      <c r="M23" s="196"/>
      <c r="N23" s="196"/>
      <c r="O23" s="196"/>
      <c r="P23" s="199"/>
    </row>
    <row r="24" spans="1:19" ht="31.5" customHeight="1" x14ac:dyDescent="0.2">
      <c r="A24" s="193" t="s">
        <v>363</v>
      </c>
      <c r="B24" s="318">
        <v>701603</v>
      </c>
      <c r="C24" s="194" t="s">
        <v>362</v>
      </c>
      <c r="D24" s="195"/>
      <c r="E24" s="196"/>
      <c r="F24" s="196"/>
      <c r="G24" s="196">
        <v>413.84000000000003</v>
      </c>
      <c r="H24" s="317">
        <v>1186</v>
      </c>
      <c r="I24" s="196">
        <v>1186</v>
      </c>
      <c r="J24" s="197">
        <f t="shared" si="5"/>
        <v>0</v>
      </c>
      <c r="K24" s="198">
        <f t="shared" si="6"/>
        <v>0</v>
      </c>
      <c r="L24" s="196"/>
      <c r="M24" s="196"/>
      <c r="N24" s="196"/>
      <c r="O24" s="196"/>
      <c r="P24" s="199"/>
    </row>
    <row r="25" spans="1:19" ht="31.5" customHeight="1" x14ac:dyDescent="0.2">
      <c r="A25" s="193" t="s">
        <v>361</v>
      </c>
      <c r="B25" s="318">
        <v>705001</v>
      </c>
      <c r="C25" s="194" t="s">
        <v>360</v>
      </c>
      <c r="D25" s="195"/>
      <c r="E25" s="196">
        <v>1613.3</v>
      </c>
      <c r="F25" s="196">
        <v>1845.32</v>
      </c>
      <c r="G25" s="196">
        <v>3422.06</v>
      </c>
      <c r="H25" s="317">
        <v>2045</v>
      </c>
      <c r="I25" s="196">
        <v>2045</v>
      </c>
      <c r="J25" s="197">
        <f t="shared" si="5"/>
        <v>0</v>
      </c>
      <c r="K25" s="198">
        <f t="shared" si="6"/>
        <v>0</v>
      </c>
      <c r="L25" s="196"/>
      <c r="M25" s="196"/>
      <c r="N25" s="196"/>
      <c r="O25" s="196"/>
      <c r="P25" s="199"/>
    </row>
    <row r="26" spans="1:19" ht="31.5" customHeight="1" x14ac:dyDescent="0.2">
      <c r="A26" s="193" t="s">
        <v>359</v>
      </c>
      <c r="B26" s="318">
        <v>705101</v>
      </c>
      <c r="C26" s="194" t="s">
        <v>358</v>
      </c>
      <c r="D26" s="195"/>
      <c r="E26" s="196">
        <v>64260.44</v>
      </c>
      <c r="F26" s="196">
        <v>38662.910000000003</v>
      </c>
      <c r="G26" s="196">
        <v>64549.590000000004</v>
      </c>
      <c r="H26" s="317">
        <v>47001</v>
      </c>
      <c r="I26" s="196">
        <v>47001</v>
      </c>
      <c r="J26" s="197">
        <f t="shared" si="5"/>
        <v>0</v>
      </c>
      <c r="K26" s="198">
        <f t="shared" si="6"/>
        <v>0</v>
      </c>
      <c r="L26" s="196"/>
      <c r="M26" s="196"/>
      <c r="N26" s="196"/>
      <c r="O26" s="196"/>
      <c r="P26" s="199"/>
    </row>
    <row r="27" spans="1:19" ht="31.5" customHeight="1" x14ac:dyDescent="0.2">
      <c r="A27" s="193" t="s">
        <v>357</v>
      </c>
      <c r="B27" s="318">
        <v>705002</v>
      </c>
      <c r="C27" s="194" t="s">
        <v>356</v>
      </c>
      <c r="D27" s="195"/>
      <c r="E27" s="196">
        <v>229.5</v>
      </c>
      <c r="F27" s="196">
        <v>231</v>
      </c>
      <c r="G27" s="196">
        <v>211.5</v>
      </c>
      <c r="H27" s="317"/>
      <c r="I27" s="196">
        <v>250</v>
      </c>
      <c r="J27" s="197">
        <f t="shared" si="5"/>
        <v>250</v>
      </c>
      <c r="K27" s="198" t="e">
        <f t="shared" si="6"/>
        <v>#DIV/0!</v>
      </c>
      <c r="L27" s="196">
        <v>1000</v>
      </c>
      <c r="M27" s="196"/>
      <c r="N27" s="196"/>
      <c r="O27" s="196">
        <v>250</v>
      </c>
      <c r="P27" s="199" t="s">
        <v>1017</v>
      </c>
    </row>
    <row r="28" spans="1:19" ht="38.25" x14ac:dyDescent="0.2">
      <c r="A28" s="193" t="s">
        <v>355</v>
      </c>
      <c r="B28" s="318">
        <v>705102</v>
      </c>
      <c r="C28" s="194" t="s">
        <v>354</v>
      </c>
      <c r="D28" s="195"/>
      <c r="E28" s="196"/>
      <c r="F28" s="196">
        <v>6805.97</v>
      </c>
      <c r="G28" s="196">
        <v>3586.92</v>
      </c>
      <c r="H28" s="317">
        <v>2228</v>
      </c>
      <c r="I28" s="196"/>
      <c r="J28" s="197">
        <f t="shared" si="5"/>
        <v>-2228</v>
      </c>
      <c r="K28" s="198">
        <f t="shared" si="6"/>
        <v>-1</v>
      </c>
      <c r="L28" s="196">
        <v>3000</v>
      </c>
      <c r="M28" s="196"/>
      <c r="N28" s="196"/>
      <c r="O28" s="196"/>
      <c r="P28" s="199" t="s">
        <v>1006</v>
      </c>
    </row>
    <row r="29" spans="1:19" ht="31.5" customHeight="1" x14ac:dyDescent="0.2">
      <c r="A29" s="193" t="s">
        <v>349</v>
      </c>
      <c r="B29" s="318">
        <v>705100</v>
      </c>
      <c r="C29" s="194" t="s">
        <v>348</v>
      </c>
      <c r="D29" s="195"/>
      <c r="E29" s="196">
        <v>614.16</v>
      </c>
      <c r="F29" s="196">
        <v>250</v>
      </c>
      <c r="G29" s="196">
        <v>2880.94</v>
      </c>
      <c r="H29" s="317">
        <v>7</v>
      </c>
      <c r="I29" s="196"/>
      <c r="J29" s="197">
        <f t="shared" si="5"/>
        <v>-7</v>
      </c>
      <c r="K29" s="198">
        <f t="shared" si="6"/>
        <v>-1</v>
      </c>
      <c r="L29" s="196"/>
      <c r="M29" s="196"/>
      <c r="N29" s="196"/>
      <c r="O29" s="196"/>
      <c r="P29" s="199"/>
    </row>
    <row r="30" spans="1:19" ht="31.5" customHeight="1" x14ac:dyDescent="0.2">
      <c r="A30" s="193" t="s">
        <v>345</v>
      </c>
      <c r="B30" s="318">
        <v>705500</v>
      </c>
      <c r="C30" s="194" t="s">
        <v>344</v>
      </c>
      <c r="D30" s="195"/>
      <c r="E30" s="196">
        <v>690</v>
      </c>
      <c r="F30" s="196">
        <v>685</v>
      </c>
      <c r="G30" s="196">
        <v>710</v>
      </c>
      <c r="H30" s="317">
        <v>700</v>
      </c>
      <c r="I30" s="196"/>
      <c r="J30" s="197">
        <f t="shared" si="5"/>
        <v>-700</v>
      </c>
      <c r="K30" s="198">
        <f t="shared" si="6"/>
        <v>-1</v>
      </c>
      <c r="L30" s="196"/>
      <c r="M30" s="196"/>
      <c r="N30" s="196"/>
      <c r="O30" s="196"/>
      <c r="P30" s="199"/>
    </row>
    <row r="31" spans="1:19" ht="31.5" customHeight="1" x14ac:dyDescent="0.2">
      <c r="A31" s="193" t="s">
        <v>276</v>
      </c>
      <c r="B31" s="319">
        <v>706605</v>
      </c>
      <c r="C31" s="194" t="s">
        <v>275</v>
      </c>
      <c r="D31" s="195"/>
      <c r="E31" s="196">
        <v>649.12</v>
      </c>
      <c r="F31" s="196">
        <v>650.88</v>
      </c>
      <c r="G31" s="196">
        <v>54.17</v>
      </c>
      <c r="H31" s="317"/>
      <c r="I31" s="196"/>
      <c r="J31" s="197">
        <f t="shared" si="5"/>
        <v>0</v>
      </c>
      <c r="K31" s="198" t="e">
        <f t="shared" si="6"/>
        <v>#DIV/0!</v>
      </c>
      <c r="L31" s="196"/>
      <c r="M31" s="196"/>
      <c r="N31" s="196"/>
      <c r="O31" s="196"/>
      <c r="P31" s="199"/>
    </row>
    <row r="32" spans="1:19" ht="31.5" customHeight="1" x14ac:dyDescent="0.2">
      <c r="A32" s="193" t="s">
        <v>258</v>
      </c>
      <c r="B32" s="318">
        <v>707101</v>
      </c>
      <c r="C32" s="194" t="s">
        <v>257</v>
      </c>
      <c r="D32" s="195"/>
      <c r="E32" s="196"/>
      <c r="F32" s="196"/>
      <c r="G32" s="196">
        <v>595.83000000000004</v>
      </c>
      <c r="H32" s="317">
        <v>54.17</v>
      </c>
      <c r="I32" s="196"/>
      <c r="J32" s="197">
        <f t="shared" si="5"/>
        <v>-54.17</v>
      </c>
      <c r="K32" s="198">
        <f t="shared" si="6"/>
        <v>-1</v>
      </c>
      <c r="L32" s="196"/>
      <c r="M32" s="196"/>
      <c r="N32" s="196"/>
      <c r="O32" s="196"/>
      <c r="P32" s="199"/>
    </row>
    <row r="33" spans="1:16" ht="31.5" customHeight="1" x14ac:dyDescent="0.2">
      <c r="A33" s="193" t="s">
        <v>230</v>
      </c>
      <c r="B33" s="318">
        <v>707151</v>
      </c>
      <c r="C33" s="194" t="s">
        <v>15</v>
      </c>
      <c r="D33" s="195"/>
      <c r="E33" s="196">
        <v>169.68</v>
      </c>
      <c r="F33" s="196">
        <v>177.42000000000002</v>
      </c>
      <c r="G33" s="196">
        <v>180</v>
      </c>
      <c r="H33" s="317">
        <f>15*12</f>
        <v>180</v>
      </c>
      <c r="I33" s="196">
        <v>180</v>
      </c>
      <c r="J33" s="197">
        <f t="shared" si="5"/>
        <v>0</v>
      </c>
      <c r="K33" s="198">
        <f t="shared" si="6"/>
        <v>0</v>
      </c>
      <c r="L33" s="196"/>
      <c r="M33" s="196"/>
      <c r="N33" s="196"/>
      <c r="O33" s="196"/>
      <c r="P33" s="199"/>
    </row>
    <row r="34" spans="1:16" ht="31.5" customHeight="1" x14ac:dyDescent="0.2">
      <c r="A34" s="193" t="s">
        <v>229</v>
      </c>
      <c r="B34" s="318">
        <v>707151</v>
      </c>
      <c r="C34" s="194" t="s">
        <v>16</v>
      </c>
      <c r="D34" s="195"/>
      <c r="E34" s="196">
        <v>5.2700000000000005</v>
      </c>
      <c r="F34" s="196">
        <v>4.18</v>
      </c>
      <c r="G34" s="196">
        <v>6.95</v>
      </c>
      <c r="H34" s="317">
        <v>5</v>
      </c>
      <c r="I34" s="196">
        <v>5</v>
      </c>
      <c r="J34" s="197">
        <f t="shared" si="5"/>
        <v>0</v>
      </c>
      <c r="K34" s="198">
        <f t="shared" si="6"/>
        <v>0</v>
      </c>
      <c r="L34" s="196"/>
      <c r="M34" s="196"/>
      <c r="N34" s="196"/>
      <c r="O34" s="196"/>
      <c r="P34" s="199"/>
    </row>
    <row r="35" spans="1:16" ht="29.25" customHeight="1" x14ac:dyDescent="0.2">
      <c r="A35" s="193" t="s">
        <v>203</v>
      </c>
      <c r="B35" s="318">
        <v>707301</v>
      </c>
      <c r="C35" s="194" t="s">
        <v>18</v>
      </c>
      <c r="D35" s="195"/>
      <c r="E35" s="196">
        <v>1478.88</v>
      </c>
      <c r="F35" s="196">
        <v>420.40000000000003</v>
      </c>
      <c r="G35" s="196">
        <v>2308.56</v>
      </c>
      <c r="H35" s="317">
        <v>1800</v>
      </c>
      <c r="I35" s="196">
        <v>1800</v>
      </c>
      <c r="J35" s="197">
        <f t="shared" si="5"/>
        <v>0</v>
      </c>
      <c r="K35" s="198">
        <f t="shared" si="6"/>
        <v>0</v>
      </c>
      <c r="L35" s="196"/>
      <c r="M35" s="196"/>
      <c r="N35" s="196"/>
      <c r="O35" s="196">
        <v>1800</v>
      </c>
      <c r="P35" s="199" t="s">
        <v>1016</v>
      </c>
    </row>
    <row r="36" spans="1:16" ht="31.5" customHeight="1" x14ac:dyDescent="0.2">
      <c r="A36" s="193" t="s">
        <v>196</v>
      </c>
      <c r="B36" s="318">
        <v>707309</v>
      </c>
      <c r="C36" s="194" t="s">
        <v>19</v>
      </c>
      <c r="D36" s="195"/>
      <c r="E36" s="196">
        <v>322.38</v>
      </c>
      <c r="F36" s="196"/>
      <c r="G36" s="196"/>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31.5" customHeight="1" x14ac:dyDescent="0.2">
      <c r="A40" s="193"/>
      <c r="B40" s="193"/>
      <c r="C40" s="194"/>
      <c r="D40" s="195"/>
      <c r="E40" s="196"/>
      <c r="F40" s="196"/>
      <c r="G40" s="196"/>
      <c r="H40" s="196"/>
      <c r="I40" s="196"/>
      <c r="J40" s="197">
        <f t="shared" si="5"/>
        <v>0</v>
      </c>
      <c r="K40" s="198" t="e">
        <f t="shared" si="6"/>
        <v>#DIV/0!</v>
      </c>
      <c r="L40" s="196"/>
      <c r="M40" s="196"/>
      <c r="N40" s="196"/>
      <c r="O40" s="196"/>
      <c r="P40" s="199"/>
    </row>
    <row r="41" spans="1:16" ht="13.5" thickBot="1" x14ac:dyDescent="0.25">
      <c r="A41" s="200"/>
      <c r="B41" s="200"/>
      <c r="C41" s="177" t="s">
        <v>22</v>
      </c>
      <c r="D41" s="201"/>
      <c r="E41" s="180">
        <f>SUM(E21:E40)</f>
        <v>92637.98000000001</v>
      </c>
      <c r="F41" s="180">
        <f>SUM(F21:F40)</f>
        <v>60274.080000000002</v>
      </c>
      <c r="G41" s="180">
        <f>SUM(G21:G40)</f>
        <v>91601.760000000009</v>
      </c>
      <c r="H41" s="180">
        <f>SUM(H21:H40)</f>
        <v>68487.17</v>
      </c>
      <c r="I41" s="180">
        <f>SUM(I21:I40)</f>
        <v>73948</v>
      </c>
      <c r="J41" s="180">
        <f t="shared" si="5"/>
        <v>5460.8300000000017</v>
      </c>
      <c r="K41" s="181">
        <f t="shared" si="6"/>
        <v>7.9735080307742345E-2</v>
      </c>
      <c r="L41" s="180">
        <f>SUM(L21:L40)</f>
        <v>4000</v>
      </c>
      <c r="M41" s="180">
        <f>SUM(M21:M40)</f>
        <v>0</v>
      </c>
      <c r="N41" s="180">
        <f>SUM(N21:N40)</f>
        <v>0</v>
      </c>
      <c r="O41" s="180">
        <f>SUM(O21:O40)</f>
        <v>2218</v>
      </c>
      <c r="P41" s="202"/>
    </row>
    <row r="42" spans="1:16" ht="13.5" thickBot="1" x14ac:dyDescent="0.25">
      <c r="A42" s="203"/>
      <c r="B42" s="203"/>
      <c r="C42" s="204" t="s">
        <v>702</v>
      </c>
      <c r="D42" s="205"/>
      <c r="E42" s="206">
        <f>E18+E41</f>
        <v>97118.200000000012</v>
      </c>
      <c r="F42" s="206">
        <f>F18+F41</f>
        <v>61769.560000000005</v>
      </c>
      <c r="G42" s="206">
        <f>G18+G41</f>
        <v>91601.760000000009</v>
      </c>
      <c r="H42" s="206">
        <f>H18+H41</f>
        <v>68487.17</v>
      </c>
      <c r="I42" s="206">
        <f>I18+I41</f>
        <v>73948</v>
      </c>
      <c r="J42" s="206">
        <f>I42-H42</f>
        <v>5460.8300000000017</v>
      </c>
      <c r="K42" s="207">
        <f>(I42-H42)/H42</f>
        <v>7.9735080307742345E-2</v>
      </c>
      <c r="L42" s="206">
        <f>L18+L41</f>
        <v>4000</v>
      </c>
      <c r="M42" s="206">
        <f>M18+M41</f>
        <v>0</v>
      </c>
      <c r="N42" s="206">
        <f>N18+N41</f>
        <v>0</v>
      </c>
      <c r="O42" s="206">
        <f>O18+O41</f>
        <v>2218</v>
      </c>
      <c r="P42" s="208"/>
    </row>
    <row r="43" spans="1:16" x14ac:dyDescent="0.2">
      <c r="A43" s="203"/>
      <c r="B43" s="203"/>
      <c r="C43" s="209" t="s">
        <v>698</v>
      </c>
      <c r="D43" s="210"/>
      <c r="E43" s="211"/>
      <c r="F43" s="211"/>
      <c r="G43" s="211"/>
      <c r="H43" s="212">
        <v>0</v>
      </c>
      <c r="I43" s="213"/>
      <c r="J43" s="213"/>
      <c r="K43" s="214"/>
      <c r="L43" s="213"/>
      <c r="M43" s="213"/>
      <c r="N43" s="213"/>
      <c r="O43" s="213"/>
      <c r="P43" s="215"/>
    </row>
    <row r="44" spans="1:16" x14ac:dyDescent="0.2">
      <c r="A44" s="203"/>
      <c r="B44" s="203"/>
      <c r="C44" s="183" t="s">
        <v>699</v>
      </c>
      <c r="D44" s="184"/>
      <c r="E44" s="216"/>
      <c r="F44" s="216"/>
      <c r="G44" s="216"/>
      <c r="H44" s="185">
        <f>58421</f>
        <v>58421</v>
      </c>
      <c r="I44" s="217"/>
      <c r="J44" s="217"/>
      <c r="K44" s="218"/>
      <c r="L44" s="217"/>
      <c r="M44" s="217"/>
      <c r="N44" s="217"/>
      <c r="O44" s="217"/>
      <c r="P44" s="219"/>
    </row>
    <row r="45" spans="1:16" x14ac:dyDescent="0.2">
      <c r="A45" s="203"/>
      <c r="B45" s="203"/>
      <c r="C45" s="183" t="s">
        <v>700</v>
      </c>
      <c r="D45" s="184"/>
      <c r="E45" s="216"/>
      <c r="F45" s="216"/>
      <c r="G45" s="216"/>
      <c r="H45" s="220">
        <f>H43-H10</f>
        <v>0</v>
      </c>
      <c r="I45" s="217"/>
      <c r="J45" s="217"/>
      <c r="K45" s="218"/>
      <c r="L45" s="217"/>
      <c r="M45" s="217"/>
      <c r="N45" s="217"/>
      <c r="O45" s="217"/>
      <c r="P45" s="219"/>
    </row>
    <row r="46" spans="1:16" x14ac:dyDescent="0.2">
      <c r="A46" s="221"/>
      <c r="B46" s="221"/>
      <c r="C46" s="183" t="s">
        <v>701</v>
      </c>
      <c r="D46" s="184"/>
      <c r="E46" s="217"/>
      <c r="F46" s="217"/>
      <c r="G46" s="217"/>
      <c r="H46" s="220">
        <f>H44-H42</f>
        <v>-10066.169999999998</v>
      </c>
      <c r="I46" s="217"/>
      <c r="J46" s="217"/>
      <c r="K46" s="218"/>
      <c r="L46" s="217"/>
      <c r="M46" s="217"/>
      <c r="N46" s="217"/>
      <c r="O46" s="217"/>
      <c r="P46" s="219"/>
    </row>
    <row r="48" spans="1:16" s="157" customFormat="1" ht="27" customHeight="1" thickBot="1" x14ac:dyDescent="0.25">
      <c r="A48" s="158" t="s">
        <v>687</v>
      </c>
      <c r="B48" s="158" t="s">
        <v>687</v>
      </c>
      <c r="M48" s="406" t="s">
        <v>690</v>
      </c>
      <c r="N48" s="406"/>
      <c r="O48" s="406"/>
    </row>
    <row r="49" spans="1:15" s="157" customFormat="1" ht="51.75" thickBot="1" x14ac:dyDescent="0.25">
      <c r="A49" s="225"/>
      <c r="B49" s="225"/>
      <c r="C49" s="229" t="s">
        <v>633</v>
      </c>
      <c r="D49" s="249"/>
      <c r="E49" s="234" t="s">
        <v>749</v>
      </c>
      <c r="F49" s="234" t="s">
        <v>750</v>
      </c>
      <c r="G49" s="234" t="s">
        <v>751</v>
      </c>
      <c r="H49" s="294" t="s">
        <v>747</v>
      </c>
      <c r="I49" s="234" t="s">
        <v>748</v>
      </c>
      <c r="J49" s="234" t="s">
        <v>745</v>
      </c>
      <c r="K49" s="295" t="s">
        <v>641</v>
      </c>
      <c r="M49" s="145"/>
      <c r="N49" s="145" t="s">
        <v>693</v>
      </c>
      <c r="O49" s="145" t="s">
        <v>694</v>
      </c>
    </row>
    <row r="50" spans="1:15" s="157" customFormat="1" x14ac:dyDescent="0.2">
      <c r="A50" s="225"/>
      <c r="B50" s="225"/>
      <c r="C50" s="194" t="s">
        <v>970</v>
      </c>
      <c r="D50" s="336"/>
      <c r="E50" s="226"/>
      <c r="F50" s="226"/>
      <c r="G50" s="226"/>
      <c r="H50" s="226">
        <v>10066</v>
      </c>
      <c r="I50" s="226">
        <v>13827</v>
      </c>
      <c r="J50" s="227">
        <f>I50-H50</f>
        <v>3761</v>
      </c>
      <c r="K50" s="228">
        <f>(I50-H50)/H50</f>
        <v>0.37363401549771508</v>
      </c>
      <c r="M50" s="146" t="s">
        <v>691</v>
      </c>
      <c r="N50" s="146">
        <v>2</v>
      </c>
      <c r="O50" s="146">
        <v>0</v>
      </c>
    </row>
    <row r="51" spans="1:15" s="157" customFormat="1" x14ac:dyDescent="0.2">
      <c r="M51" s="146" t="s">
        <v>692</v>
      </c>
      <c r="N51" s="146"/>
      <c r="O51" s="146"/>
    </row>
    <row r="52" spans="1:15" s="157" customFormat="1" x14ac:dyDescent="0.2">
      <c r="M52" s="146" t="s">
        <v>23</v>
      </c>
      <c r="N52" s="146">
        <f>SUM(N50:N51)</f>
        <v>2</v>
      </c>
      <c r="O52" s="146">
        <f>SUM(O50:O51)</f>
        <v>0</v>
      </c>
    </row>
    <row r="53" spans="1:15" s="157" customFormat="1" x14ac:dyDescent="0.2"/>
    <row r="54" spans="1:15" s="157" customFormat="1" x14ac:dyDescent="0.2"/>
    <row r="55" spans="1:15" s="157" customFormat="1" x14ac:dyDescent="0.2"/>
  </sheetData>
  <mergeCells count="2">
    <mergeCell ref="L3:N3"/>
    <mergeCell ref="M48:O48"/>
  </mergeCells>
  <pageMargins left="0.25" right="0.25" top="0.67708333333333304" bottom="0.35416666666666702" header="0.3" footer="0.3"/>
  <pageSetup paperSize="5" scale="70" orientation="landscape" r:id="rId1"/>
  <headerFooter>
    <oddHeader>&amp;C&amp;"Calibri,Bold"&amp;A</oddHeader>
    <oddFooter>&amp;Rprinted: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topLeftCell="B1" workbookViewId="0">
      <selection activeCell="E36" sqref="E36"/>
    </sheetView>
  </sheetViews>
  <sheetFormatPr defaultColWidth="9.140625" defaultRowHeight="15.75" x14ac:dyDescent="0.25"/>
  <cols>
    <col min="1" max="1" width="27.42578125" style="130" bestFit="1" customWidth="1"/>
    <col min="2" max="2" width="46.85546875" style="130" customWidth="1"/>
    <col min="3" max="3" width="16" style="131" customWidth="1"/>
    <col min="4" max="4" width="16.85546875" style="131" customWidth="1"/>
    <col min="5" max="5" width="145.85546875" style="133" customWidth="1"/>
    <col min="6" max="16384" width="9.140625" style="130"/>
  </cols>
  <sheetData>
    <row r="1" spans="1:5" x14ac:dyDescent="0.25">
      <c r="B1" s="398" t="s">
        <v>788</v>
      </c>
      <c r="C1" s="398"/>
      <c r="D1" s="398"/>
      <c r="E1" s="398"/>
    </row>
    <row r="3" spans="1:5" ht="47.25" x14ac:dyDescent="0.25">
      <c r="B3" s="131" t="s">
        <v>753</v>
      </c>
      <c r="C3" s="132"/>
      <c r="D3" s="132"/>
      <c r="E3" s="242" t="s">
        <v>781</v>
      </c>
    </row>
    <row r="4" spans="1:5" x14ac:dyDescent="0.25">
      <c r="B4" s="131" t="s">
        <v>754</v>
      </c>
      <c r="C4" s="132"/>
      <c r="D4" s="132"/>
    </row>
    <row r="5" spans="1:5" x14ac:dyDescent="0.25">
      <c r="B5" s="131" t="s">
        <v>755</v>
      </c>
      <c r="C5" s="132"/>
      <c r="D5" s="132"/>
    </row>
    <row r="6" spans="1:5" x14ac:dyDescent="0.25">
      <c r="B6" s="131"/>
    </row>
    <row r="7" spans="1:5" ht="95.25" customHeight="1" x14ac:dyDescent="0.25">
      <c r="A7" s="142" t="s">
        <v>779</v>
      </c>
      <c r="B7" s="248" t="s">
        <v>785</v>
      </c>
      <c r="C7" s="142" t="s">
        <v>796</v>
      </c>
      <c r="D7" s="142" t="s">
        <v>764</v>
      </c>
      <c r="E7" s="136" t="s">
        <v>756</v>
      </c>
    </row>
    <row r="8" spans="1:5" ht="44.25" customHeight="1" x14ac:dyDescent="0.25">
      <c r="A8" s="136" t="s">
        <v>1135</v>
      </c>
      <c r="B8" s="134" t="s">
        <v>763</v>
      </c>
      <c r="C8" s="141">
        <v>255648</v>
      </c>
      <c r="D8" s="141">
        <v>255648</v>
      </c>
      <c r="E8" s="341" t="s">
        <v>1148</v>
      </c>
    </row>
    <row r="9" spans="1:5" ht="90" x14ac:dyDescent="0.25">
      <c r="A9" s="391" t="s">
        <v>1141</v>
      </c>
      <c r="B9" s="134" t="s">
        <v>757</v>
      </c>
      <c r="C9" s="141">
        <v>118300</v>
      </c>
      <c r="D9" s="141">
        <v>118300</v>
      </c>
      <c r="E9" s="341" t="s">
        <v>1148</v>
      </c>
    </row>
    <row r="10" spans="1:5" ht="63" customHeight="1" x14ac:dyDescent="0.25">
      <c r="A10" s="134" t="s">
        <v>1136</v>
      </c>
      <c r="B10" s="134" t="s">
        <v>758</v>
      </c>
      <c r="C10" s="141">
        <v>66339</v>
      </c>
      <c r="D10" s="141">
        <v>66339</v>
      </c>
      <c r="E10" s="394" t="s">
        <v>1148</v>
      </c>
    </row>
    <row r="11" spans="1:5" ht="44.25" customHeight="1" x14ac:dyDescent="0.25">
      <c r="A11" s="134"/>
      <c r="B11" s="134" t="s">
        <v>759</v>
      </c>
      <c r="C11" s="141"/>
      <c r="D11" s="141"/>
      <c r="E11" s="136"/>
    </row>
    <row r="12" spans="1:5" ht="94.5" x14ac:dyDescent="0.25">
      <c r="A12" s="136" t="s">
        <v>1137</v>
      </c>
      <c r="B12" s="134" t="s">
        <v>1138</v>
      </c>
      <c r="C12" s="141">
        <v>68431</v>
      </c>
      <c r="D12" s="141">
        <v>50931</v>
      </c>
      <c r="E12" s="136" t="s">
        <v>1148</v>
      </c>
    </row>
    <row r="13" spans="1:5" ht="44.25" customHeight="1" x14ac:dyDescent="0.25">
      <c r="A13" s="136" t="s">
        <v>1139</v>
      </c>
      <c r="B13" s="134" t="s">
        <v>1140</v>
      </c>
      <c r="C13" s="141">
        <v>3575</v>
      </c>
      <c r="D13" s="141">
        <v>600</v>
      </c>
      <c r="E13" s="136" t="s">
        <v>1148</v>
      </c>
    </row>
    <row r="14" spans="1:5" ht="44.25" customHeight="1" thickBot="1" x14ac:dyDescent="0.3">
      <c r="B14" s="143" t="s">
        <v>786</v>
      </c>
      <c r="C14" s="241">
        <f>SUM(C8:C13)</f>
        <v>512293</v>
      </c>
      <c r="D14" s="241">
        <f>SUM(D8:D13)</f>
        <v>491818</v>
      </c>
      <c r="E14" s="144"/>
    </row>
    <row r="15" spans="1:5" ht="24.75" customHeight="1" thickTop="1" x14ac:dyDescent="0.25">
      <c r="B15" s="131"/>
    </row>
    <row r="16" spans="1:5" s="139" customFormat="1" x14ac:dyDescent="0.25">
      <c r="B16" s="137"/>
      <c r="C16" s="137"/>
      <c r="D16" s="137"/>
      <c r="E16" s="138"/>
    </row>
    <row r="17" spans="1:5" x14ac:dyDescent="0.25">
      <c r="B17" s="140" t="s">
        <v>762</v>
      </c>
      <c r="C17" s="132" t="s">
        <v>1149</v>
      </c>
      <c r="D17" s="132"/>
    </row>
    <row r="18" spans="1:5" x14ac:dyDescent="0.25">
      <c r="B18" s="131" t="s">
        <v>755</v>
      </c>
      <c r="C18" s="132" t="s">
        <v>1150</v>
      </c>
      <c r="D18" s="132"/>
    </row>
    <row r="19" spans="1:5" x14ac:dyDescent="0.25">
      <c r="B19" s="131"/>
    </row>
    <row r="20" spans="1:5" ht="78.75" x14ac:dyDescent="0.25">
      <c r="A20" s="142" t="s">
        <v>779</v>
      </c>
      <c r="B20" s="135" t="s">
        <v>785</v>
      </c>
      <c r="C20" s="142" t="s">
        <v>782</v>
      </c>
      <c r="D20" s="142" t="s">
        <v>764</v>
      </c>
      <c r="E20" s="136" t="s">
        <v>756</v>
      </c>
    </row>
    <row r="21" spans="1:5" ht="66" customHeight="1" x14ac:dyDescent="0.25">
      <c r="A21" s="134"/>
      <c r="B21" s="134" t="s">
        <v>763</v>
      </c>
      <c r="C21" s="141">
        <v>255648</v>
      </c>
      <c r="D21" s="141">
        <v>255648</v>
      </c>
      <c r="E21" s="341" t="s">
        <v>1144</v>
      </c>
    </row>
    <row r="22" spans="1:5" ht="66" customHeight="1" x14ac:dyDescent="0.25">
      <c r="A22" s="134"/>
      <c r="B22" s="134" t="s">
        <v>757</v>
      </c>
      <c r="C22" s="141">
        <v>118300</v>
      </c>
      <c r="D22" s="141">
        <v>118300</v>
      </c>
      <c r="E22" s="341" t="s">
        <v>1145</v>
      </c>
    </row>
    <row r="23" spans="1:5" ht="66" customHeight="1" x14ac:dyDescent="0.25">
      <c r="A23" s="134"/>
      <c r="B23" s="134" t="s">
        <v>758</v>
      </c>
      <c r="C23" s="141">
        <v>66339</v>
      </c>
      <c r="D23" s="141">
        <v>66339</v>
      </c>
      <c r="E23" s="394" t="s">
        <v>1146</v>
      </c>
    </row>
    <row r="24" spans="1:5" ht="66" customHeight="1" x14ac:dyDescent="0.25">
      <c r="A24" s="134"/>
      <c r="B24" s="134" t="s">
        <v>759</v>
      </c>
      <c r="C24" s="141"/>
      <c r="D24" s="141"/>
      <c r="E24" s="136"/>
    </row>
    <row r="25" spans="1:5" ht="66" customHeight="1" x14ac:dyDescent="0.25">
      <c r="A25" s="134"/>
      <c r="B25" s="134" t="s">
        <v>760</v>
      </c>
      <c r="C25" s="141">
        <v>68431</v>
      </c>
      <c r="D25" s="141">
        <v>50931</v>
      </c>
      <c r="E25" s="136" t="s">
        <v>1147</v>
      </c>
    </row>
    <row r="26" spans="1:5" ht="66" customHeight="1" x14ac:dyDescent="0.25">
      <c r="A26" s="134"/>
      <c r="B26" s="134" t="s">
        <v>761</v>
      </c>
      <c r="C26" s="141">
        <v>3575</v>
      </c>
      <c r="D26" s="141">
        <v>600</v>
      </c>
      <c r="E26" s="136" t="s">
        <v>1142</v>
      </c>
    </row>
    <row r="27" spans="1:5" ht="16.5" thickBot="1" x14ac:dyDescent="0.3">
      <c r="B27" s="131"/>
      <c r="C27" s="241">
        <f>SUM(C21:C26)</f>
        <v>512293</v>
      </c>
      <c r="D27" s="241">
        <f>SUM(D21:D26)</f>
        <v>491818</v>
      </c>
    </row>
    <row r="28" spans="1:5" ht="16.5" thickTop="1" x14ac:dyDescent="0.25"/>
  </sheetData>
  <mergeCells count="1">
    <mergeCell ref="B1:E1"/>
  </mergeCells>
  <pageMargins left="0.7" right="0.7" top="0.75" bottom="0.75" header="0.3" footer="0.3"/>
  <pageSetup scale="45" orientation="landscape" r:id="rId1"/>
  <headerFooter>
    <oddFooter>&amp;L&amp;F&amp;A&amp;Rprinted: &amp;D&amp;T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5"/>
  <sheetViews>
    <sheetView showGridLines="0" topLeftCell="A28"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872</v>
      </c>
      <c r="O1" s="164"/>
    </row>
    <row r="2" spans="1:19" ht="23.25" customHeight="1" thickBot="1" x14ac:dyDescent="0.3">
      <c r="A2" s="290" t="s">
        <v>810</v>
      </c>
      <c r="B2" s="232"/>
      <c r="C2" s="292" t="s">
        <v>873</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111958.1</f>
        <v>111958.1</v>
      </c>
      <c r="F6" s="171">
        <f>117013.1</f>
        <v>117013.1</v>
      </c>
      <c r="G6" s="171">
        <f>115219.78</f>
        <v>115219.78</v>
      </c>
      <c r="H6" s="171">
        <f>SUM('FT Salaries'!E94)</f>
        <v>117013.30282707182</v>
      </c>
      <c r="I6" s="172">
        <f>SUM(H6)</f>
        <v>117013.30282707182</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111958.1</v>
      </c>
      <c r="F8" s="179">
        <f>SUM(F6:F7)</f>
        <v>117013.1</v>
      </c>
      <c r="G8" s="179">
        <f>SUM(G6:G7)</f>
        <v>115219.78</v>
      </c>
      <c r="H8" s="179">
        <f>SUM(H6:H7)</f>
        <v>117013.30282707182</v>
      </c>
      <c r="I8" s="179">
        <f>SUM(I6:I7)</f>
        <v>117013.30282707182</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3000</v>
      </c>
      <c r="F12" s="171">
        <v>3000</v>
      </c>
      <c r="G12" s="171"/>
      <c r="H12" s="171"/>
      <c r="I12" s="172"/>
      <c r="J12" s="173">
        <f t="shared" si="1"/>
        <v>0</v>
      </c>
      <c r="K12" s="174" t="e">
        <f t="shared" ref="K12:K18" si="2">(I12-H12)/H12</f>
        <v>#DIV/0!</v>
      </c>
      <c r="L12" s="172"/>
      <c r="M12" s="175"/>
      <c r="N12" s="175"/>
      <c r="O12" s="175"/>
      <c r="P12" s="147"/>
      <c r="Q12" s="157"/>
      <c r="R12" s="157"/>
      <c r="S12" s="157"/>
    </row>
    <row r="13" spans="1:19" x14ac:dyDescent="0.2">
      <c r="A13" s="169" t="s">
        <v>591</v>
      </c>
      <c r="B13" s="318">
        <v>601307</v>
      </c>
      <c r="C13" s="146" t="s">
        <v>590</v>
      </c>
      <c r="D13" s="170"/>
      <c r="E13" s="171">
        <v>27109.4</v>
      </c>
      <c r="F13" s="171">
        <v>27978.57</v>
      </c>
      <c r="G13" s="171">
        <v>27978.55</v>
      </c>
      <c r="H13" s="171">
        <v>29992</v>
      </c>
      <c r="I13" s="172">
        <v>30000</v>
      </c>
      <c r="J13" s="173">
        <f t="shared" si="1"/>
        <v>8</v>
      </c>
      <c r="K13" s="174">
        <f t="shared" si="2"/>
        <v>2.6673779674579886E-4</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30109.4</v>
      </c>
      <c r="F18" s="185">
        <f t="shared" ref="F18:I18" si="3">SUM(F12:F17)</f>
        <v>30978.57</v>
      </c>
      <c r="G18" s="185">
        <f t="shared" si="3"/>
        <v>27978.55</v>
      </c>
      <c r="H18" s="185">
        <f t="shared" si="3"/>
        <v>29992</v>
      </c>
      <c r="I18" s="185">
        <f t="shared" si="3"/>
        <v>30000</v>
      </c>
      <c r="J18" s="185">
        <f t="shared" si="1"/>
        <v>8</v>
      </c>
      <c r="K18" s="186">
        <f t="shared" si="2"/>
        <v>2.6673779674579886E-4</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416</v>
      </c>
      <c r="B21" s="318">
        <v>702200</v>
      </c>
      <c r="C21" s="194" t="s">
        <v>11</v>
      </c>
      <c r="D21" s="195"/>
      <c r="E21" s="196">
        <v>15757.550000000001</v>
      </c>
      <c r="F21" s="196">
        <v>15072.5</v>
      </c>
      <c r="G21" s="196">
        <v>16459.400000000001</v>
      </c>
      <c r="H21" s="196">
        <v>18573</v>
      </c>
      <c r="I21" s="196">
        <v>14750</v>
      </c>
      <c r="J21" s="197">
        <f t="shared" ref="J21:J41" si="5">I21-H21</f>
        <v>-3823</v>
      </c>
      <c r="K21" s="198">
        <f t="shared" ref="K21:K41" si="6">(I21-H21)/H21</f>
        <v>-0.20583642922521941</v>
      </c>
      <c r="L21" s="196"/>
      <c r="M21" s="196"/>
      <c r="N21" s="196"/>
      <c r="O21" s="196"/>
      <c r="P21" s="199" t="s">
        <v>989</v>
      </c>
    </row>
    <row r="22" spans="1:19" ht="31.5" customHeight="1" x14ac:dyDescent="0.2">
      <c r="A22" s="193" t="s">
        <v>387</v>
      </c>
      <c r="B22" s="318">
        <v>701406</v>
      </c>
      <c r="C22" s="194" t="s">
        <v>386</v>
      </c>
      <c r="D22" s="195"/>
      <c r="E22" s="196">
        <v>800</v>
      </c>
      <c r="F22" s="196">
        <v>1140</v>
      </c>
      <c r="G22" s="196">
        <v>1090</v>
      </c>
      <c r="H22" s="317">
        <v>2100</v>
      </c>
      <c r="I22" s="196">
        <v>2000</v>
      </c>
      <c r="J22" s="197">
        <f t="shared" si="5"/>
        <v>-100</v>
      </c>
      <c r="K22" s="198">
        <f t="shared" si="6"/>
        <v>-4.7619047619047616E-2</v>
      </c>
      <c r="L22" s="196"/>
      <c r="M22" s="196"/>
      <c r="N22" s="196"/>
      <c r="O22" s="196"/>
      <c r="P22" s="199"/>
    </row>
    <row r="23" spans="1:19" ht="31.5" customHeight="1" x14ac:dyDescent="0.2">
      <c r="A23" s="193" t="s">
        <v>377</v>
      </c>
      <c r="B23" s="318">
        <v>701500</v>
      </c>
      <c r="C23" s="194" t="s">
        <v>376</v>
      </c>
      <c r="D23" s="195"/>
      <c r="E23" s="196"/>
      <c r="F23" s="196">
        <v>617</v>
      </c>
      <c r="G23" s="196">
        <v>300</v>
      </c>
      <c r="H23" s="317">
        <v>525</v>
      </c>
      <c r="I23" s="196">
        <v>525</v>
      </c>
      <c r="J23" s="197">
        <f t="shared" si="5"/>
        <v>0</v>
      </c>
      <c r="K23" s="198">
        <f t="shared" si="6"/>
        <v>0</v>
      </c>
      <c r="L23" s="196"/>
      <c r="M23" s="196"/>
      <c r="N23" s="196"/>
      <c r="O23" s="196"/>
      <c r="P23" s="199"/>
    </row>
    <row r="24" spans="1:19" ht="31.5" customHeight="1" x14ac:dyDescent="0.2">
      <c r="A24" s="193" t="s">
        <v>363</v>
      </c>
      <c r="B24" s="318">
        <v>701603</v>
      </c>
      <c r="C24" s="194" t="s">
        <v>362</v>
      </c>
      <c r="D24" s="195"/>
      <c r="E24" s="196">
        <v>4246</v>
      </c>
      <c r="F24" s="196"/>
      <c r="G24" s="196"/>
      <c r="H24" s="317">
        <v>650</v>
      </c>
      <c r="I24" s="196"/>
      <c r="J24" s="197">
        <f t="shared" si="5"/>
        <v>-650</v>
      </c>
      <c r="K24" s="198">
        <f t="shared" si="6"/>
        <v>-1</v>
      </c>
      <c r="L24" s="196"/>
      <c r="M24" s="196"/>
      <c r="N24" s="196"/>
      <c r="O24" s="196"/>
      <c r="P24" s="199"/>
    </row>
    <row r="25" spans="1:19" ht="31.5" customHeight="1" x14ac:dyDescent="0.2">
      <c r="A25" s="193" t="s">
        <v>361</v>
      </c>
      <c r="B25" s="318">
        <v>705001</v>
      </c>
      <c r="C25" s="194" t="s">
        <v>360</v>
      </c>
      <c r="D25" s="195"/>
      <c r="E25" s="196">
        <v>360</v>
      </c>
      <c r="F25" s="196">
        <v>750</v>
      </c>
      <c r="G25" s="196">
        <v>273</v>
      </c>
      <c r="H25" s="317">
        <v>2668</v>
      </c>
      <c r="I25" s="196">
        <v>1500</v>
      </c>
      <c r="J25" s="197">
        <f t="shared" si="5"/>
        <v>-1168</v>
      </c>
      <c r="K25" s="198">
        <f t="shared" si="6"/>
        <v>-0.43778110944527737</v>
      </c>
      <c r="L25" s="196"/>
      <c r="M25" s="196"/>
      <c r="N25" s="196"/>
      <c r="O25" s="196"/>
      <c r="P25" s="199" t="s">
        <v>988</v>
      </c>
    </row>
    <row r="26" spans="1:19" ht="31.5" customHeight="1" x14ac:dyDescent="0.2">
      <c r="A26" s="193" t="s">
        <v>359</v>
      </c>
      <c r="B26" s="318">
        <v>705101</v>
      </c>
      <c r="C26" s="194" t="s">
        <v>358</v>
      </c>
      <c r="D26" s="195"/>
      <c r="E26" s="196">
        <v>31300.03</v>
      </c>
      <c r="F26" s="196">
        <v>30264.97</v>
      </c>
      <c r="G26" s="196">
        <v>34397.33</v>
      </c>
      <c r="H26" s="317">
        <v>20981</v>
      </c>
      <c r="I26" s="196">
        <v>17621</v>
      </c>
      <c r="J26" s="197">
        <f t="shared" si="5"/>
        <v>-3360</v>
      </c>
      <c r="K26" s="198">
        <f t="shared" si="6"/>
        <v>-0.16014489299842716</v>
      </c>
      <c r="L26" s="196"/>
      <c r="M26" s="196"/>
      <c r="N26" s="196"/>
      <c r="O26" s="196">
        <v>1533</v>
      </c>
      <c r="P26" s="199" t="s">
        <v>990</v>
      </c>
    </row>
    <row r="27" spans="1:19" ht="31.5" customHeight="1" x14ac:dyDescent="0.2">
      <c r="A27" s="193" t="s">
        <v>357</v>
      </c>
      <c r="B27" s="318">
        <v>705002</v>
      </c>
      <c r="C27" s="194" t="s">
        <v>356</v>
      </c>
      <c r="D27" s="195"/>
      <c r="E27" s="196">
        <v>1305.58</v>
      </c>
      <c r="F27" s="196">
        <v>559.6</v>
      </c>
      <c r="G27" s="196">
        <v>2846.53</v>
      </c>
      <c r="H27" s="317">
        <v>1450</v>
      </c>
      <c r="I27" s="196"/>
      <c r="J27" s="197">
        <f t="shared" si="5"/>
        <v>-1450</v>
      </c>
      <c r="K27" s="198">
        <f t="shared" si="6"/>
        <v>-1</v>
      </c>
      <c r="L27" s="196">
        <v>1000</v>
      </c>
      <c r="M27" s="196"/>
      <c r="N27" s="196"/>
      <c r="O27" s="196"/>
      <c r="P27" s="199" t="s">
        <v>1001</v>
      </c>
    </row>
    <row r="28" spans="1:19" ht="31.5" customHeight="1" x14ac:dyDescent="0.2">
      <c r="A28" s="193" t="s">
        <v>355</v>
      </c>
      <c r="B28" s="318">
        <v>705102</v>
      </c>
      <c r="C28" s="194" t="s">
        <v>354</v>
      </c>
      <c r="D28" s="195"/>
      <c r="E28" s="196">
        <v>521.89</v>
      </c>
      <c r="F28" s="196">
        <v>0</v>
      </c>
      <c r="G28" s="196">
        <v>183.68</v>
      </c>
      <c r="H28" s="317"/>
      <c r="I28" s="196"/>
      <c r="J28" s="197">
        <f t="shared" si="5"/>
        <v>0</v>
      </c>
      <c r="K28" s="198" t="e">
        <f t="shared" si="6"/>
        <v>#DIV/0!</v>
      </c>
      <c r="L28" s="196">
        <v>3000</v>
      </c>
      <c r="M28" s="196"/>
      <c r="N28" s="196"/>
      <c r="O28" s="196"/>
      <c r="P28" s="199" t="s">
        <v>1001</v>
      </c>
    </row>
    <row r="29" spans="1:19" ht="31.5" customHeight="1" x14ac:dyDescent="0.2">
      <c r="A29" s="193" t="s">
        <v>309</v>
      </c>
      <c r="B29" s="318">
        <v>706100</v>
      </c>
      <c r="C29" s="194" t="s">
        <v>308</v>
      </c>
      <c r="D29" s="195"/>
      <c r="E29" s="196"/>
      <c r="F29" s="196">
        <v>12.42</v>
      </c>
      <c r="G29" s="196">
        <v>0</v>
      </c>
      <c r="H29" s="317"/>
      <c r="I29" s="196"/>
      <c r="J29" s="197">
        <f t="shared" si="5"/>
        <v>0</v>
      </c>
      <c r="K29" s="198" t="e">
        <f t="shared" si="6"/>
        <v>#DIV/0!</v>
      </c>
      <c r="L29" s="196"/>
      <c r="M29" s="196"/>
      <c r="N29" s="196"/>
      <c r="O29" s="196"/>
      <c r="P29" s="199"/>
    </row>
    <row r="30" spans="1:19" ht="31.5" customHeight="1" x14ac:dyDescent="0.2">
      <c r="A30" s="193" t="s">
        <v>276</v>
      </c>
      <c r="B30" s="319">
        <v>706605</v>
      </c>
      <c r="C30" s="194" t="s">
        <v>275</v>
      </c>
      <c r="D30" s="195"/>
      <c r="E30" s="196">
        <v>649.12</v>
      </c>
      <c r="F30" s="196">
        <v>650.88</v>
      </c>
      <c r="G30" s="196">
        <v>54.17</v>
      </c>
      <c r="H30" s="317"/>
      <c r="I30" s="196"/>
      <c r="J30" s="197">
        <f t="shared" si="5"/>
        <v>0</v>
      </c>
      <c r="K30" s="198" t="e">
        <f t="shared" si="6"/>
        <v>#DIV/0!</v>
      </c>
      <c r="L30" s="196"/>
      <c r="M30" s="196"/>
      <c r="N30" s="196"/>
      <c r="O30" s="196"/>
      <c r="P30" s="199"/>
    </row>
    <row r="31" spans="1:19" ht="31.5" customHeight="1" x14ac:dyDescent="0.2">
      <c r="A31" s="193" t="s">
        <v>258</v>
      </c>
      <c r="B31" s="318">
        <v>707101</v>
      </c>
      <c r="C31" s="194" t="s">
        <v>257</v>
      </c>
      <c r="D31" s="195"/>
      <c r="E31" s="196"/>
      <c r="F31" s="196"/>
      <c r="G31" s="196">
        <v>595.83000000000004</v>
      </c>
      <c r="H31" s="317">
        <v>283</v>
      </c>
      <c r="I31" s="196"/>
      <c r="J31" s="197">
        <f t="shared" si="5"/>
        <v>-283</v>
      </c>
      <c r="K31" s="198">
        <f t="shared" si="6"/>
        <v>-1</v>
      </c>
      <c r="L31" s="196"/>
      <c r="M31" s="196"/>
      <c r="N31" s="196"/>
      <c r="O31" s="196"/>
      <c r="P31" s="199"/>
    </row>
    <row r="32" spans="1:19" ht="31.5" customHeight="1" x14ac:dyDescent="0.2">
      <c r="A32" s="193" t="s">
        <v>230</v>
      </c>
      <c r="B32" s="318">
        <v>707151</v>
      </c>
      <c r="C32" s="194" t="s">
        <v>15</v>
      </c>
      <c r="D32" s="195"/>
      <c r="E32" s="196">
        <v>156.84</v>
      </c>
      <c r="F32" s="196">
        <v>174.21</v>
      </c>
      <c r="G32" s="196">
        <v>180</v>
      </c>
      <c r="H32" s="317">
        <f>15*12</f>
        <v>180</v>
      </c>
      <c r="I32" s="196"/>
      <c r="J32" s="197">
        <f t="shared" si="5"/>
        <v>-180</v>
      </c>
      <c r="K32" s="198">
        <f t="shared" si="6"/>
        <v>-1</v>
      </c>
      <c r="L32" s="196"/>
      <c r="M32" s="196"/>
      <c r="N32" s="196"/>
      <c r="O32" s="196"/>
      <c r="P32" s="199"/>
    </row>
    <row r="33" spans="1:16" ht="31.5" customHeight="1" x14ac:dyDescent="0.2">
      <c r="A33" s="193" t="s">
        <v>229</v>
      </c>
      <c r="B33" s="318">
        <v>707151</v>
      </c>
      <c r="C33" s="194" t="s">
        <v>16</v>
      </c>
      <c r="D33" s="195"/>
      <c r="E33" s="196">
        <v>2.96</v>
      </c>
      <c r="F33" s="196">
        <v>0.85</v>
      </c>
      <c r="G33" s="196">
        <v>1.23</v>
      </c>
      <c r="H33" s="317">
        <v>5</v>
      </c>
      <c r="I33" s="196"/>
      <c r="J33" s="197">
        <f t="shared" si="5"/>
        <v>-5</v>
      </c>
      <c r="K33" s="198">
        <f t="shared" si="6"/>
        <v>-1</v>
      </c>
      <c r="L33" s="196"/>
      <c r="M33" s="196"/>
      <c r="N33" s="196"/>
      <c r="O33" s="196"/>
      <c r="P33" s="199"/>
    </row>
    <row r="34" spans="1:16" ht="31.5" customHeight="1" x14ac:dyDescent="0.2">
      <c r="A34" s="193" t="s">
        <v>203</v>
      </c>
      <c r="B34" s="318">
        <v>707301</v>
      </c>
      <c r="C34" s="194" t="s">
        <v>18</v>
      </c>
      <c r="D34" s="195"/>
      <c r="E34" s="196">
        <v>9936</v>
      </c>
      <c r="F34" s="196">
        <v>11043</v>
      </c>
      <c r="G34" s="196">
        <v>5265</v>
      </c>
      <c r="H34" s="317">
        <v>8720</v>
      </c>
      <c r="I34" s="196">
        <v>14690</v>
      </c>
      <c r="J34" s="197">
        <f t="shared" si="5"/>
        <v>5970</v>
      </c>
      <c r="K34" s="198">
        <f t="shared" si="6"/>
        <v>0.68463302752293576</v>
      </c>
      <c r="L34" s="196"/>
      <c r="M34" s="196"/>
      <c r="N34" s="196"/>
      <c r="O34" s="196"/>
      <c r="P34" s="199"/>
    </row>
    <row r="35" spans="1:16" ht="31.5" customHeight="1" x14ac:dyDescent="0.2">
      <c r="A35" s="193" t="s">
        <v>177</v>
      </c>
      <c r="B35" s="318">
        <v>707505</v>
      </c>
      <c r="C35" s="194" t="s">
        <v>176</v>
      </c>
      <c r="D35" s="195"/>
      <c r="E35" s="196"/>
      <c r="F35" s="196">
        <v>195.19</v>
      </c>
      <c r="G35" s="196">
        <v>0</v>
      </c>
      <c r="H35" s="196"/>
      <c r="I35" s="196"/>
      <c r="J35" s="197">
        <f t="shared" si="5"/>
        <v>0</v>
      </c>
      <c r="K35" s="198" t="e">
        <f t="shared" si="6"/>
        <v>#DIV/0!</v>
      </c>
      <c r="L35" s="196"/>
      <c r="M35" s="196"/>
      <c r="N35" s="196"/>
      <c r="O35" s="196"/>
      <c r="P35" s="199"/>
    </row>
    <row r="36" spans="1:16" ht="31.5" customHeight="1" x14ac:dyDescent="0.2">
      <c r="A36" s="193"/>
      <c r="B36" s="193"/>
      <c r="C36" s="194"/>
      <c r="D36" s="195"/>
      <c r="E36" s="196"/>
      <c r="F36" s="196"/>
      <c r="G36" s="196"/>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31.5" customHeight="1" x14ac:dyDescent="0.2">
      <c r="A40" s="193"/>
      <c r="B40" s="193"/>
      <c r="C40" s="194"/>
      <c r="D40" s="195"/>
      <c r="E40" s="196"/>
      <c r="F40" s="196"/>
      <c r="G40" s="196"/>
      <c r="H40" s="196"/>
      <c r="I40" s="196"/>
      <c r="J40" s="197">
        <f t="shared" si="5"/>
        <v>0</v>
      </c>
      <c r="K40" s="198" t="e">
        <f t="shared" si="6"/>
        <v>#DIV/0!</v>
      </c>
      <c r="L40" s="196"/>
      <c r="M40" s="196"/>
      <c r="N40" s="196"/>
      <c r="O40" s="196"/>
      <c r="P40" s="199"/>
    </row>
    <row r="41" spans="1:16" ht="13.5" thickBot="1" x14ac:dyDescent="0.25">
      <c r="A41" s="200"/>
      <c r="B41" s="200"/>
      <c r="C41" s="177" t="s">
        <v>22</v>
      </c>
      <c r="D41" s="201"/>
      <c r="E41" s="180">
        <f>SUM(E21:E40)</f>
        <v>65035.97</v>
      </c>
      <c r="F41" s="180">
        <f>SUM(F21:F40)</f>
        <v>60480.619999999995</v>
      </c>
      <c r="G41" s="180">
        <f>SUM(G21:G40)</f>
        <v>61646.170000000006</v>
      </c>
      <c r="H41" s="180">
        <f>SUM(H21:H40)</f>
        <v>56135</v>
      </c>
      <c r="I41" s="180">
        <f>SUM(I21:I40)</f>
        <v>51086</v>
      </c>
      <c r="J41" s="180">
        <f t="shared" si="5"/>
        <v>-5049</v>
      </c>
      <c r="K41" s="181">
        <f t="shared" si="6"/>
        <v>-8.9943885276565425E-2</v>
      </c>
      <c r="L41" s="180">
        <f>SUM(L21:L40)</f>
        <v>4000</v>
      </c>
      <c r="M41" s="180">
        <f>SUM(M21:M40)</f>
        <v>0</v>
      </c>
      <c r="N41" s="180">
        <f>SUM(N21:N40)</f>
        <v>0</v>
      </c>
      <c r="O41" s="180">
        <f>SUM(O21:O40)</f>
        <v>1533</v>
      </c>
      <c r="P41" s="202"/>
    </row>
    <row r="42" spans="1:16" ht="13.5" thickBot="1" x14ac:dyDescent="0.25">
      <c r="A42" s="203"/>
      <c r="B42" s="203"/>
      <c r="C42" s="204" t="s">
        <v>702</v>
      </c>
      <c r="D42" s="205"/>
      <c r="E42" s="206">
        <f>E18+E41</f>
        <v>95145.37</v>
      </c>
      <c r="F42" s="206">
        <f>F18+F41</f>
        <v>91459.19</v>
      </c>
      <c r="G42" s="206">
        <f>G18+G41</f>
        <v>89624.72</v>
      </c>
      <c r="H42" s="206">
        <f>H18+H41</f>
        <v>86127</v>
      </c>
      <c r="I42" s="206">
        <f>I18+I41</f>
        <v>81086</v>
      </c>
      <c r="J42" s="206">
        <f>I42-H42</f>
        <v>-5041</v>
      </c>
      <c r="K42" s="207">
        <f>(I42-H42)/H42</f>
        <v>-5.8529845460773042E-2</v>
      </c>
      <c r="L42" s="206">
        <f>L18+L41</f>
        <v>4000</v>
      </c>
      <c r="M42" s="206">
        <f>M18+M41</f>
        <v>0</v>
      </c>
      <c r="N42" s="206">
        <f>N18+N41</f>
        <v>0</v>
      </c>
      <c r="O42" s="206">
        <f>O18+O41</f>
        <v>1533</v>
      </c>
      <c r="P42" s="208"/>
    </row>
    <row r="43" spans="1:16" x14ac:dyDescent="0.2">
      <c r="A43" s="203"/>
      <c r="B43" s="203"/>
      <c r="C43" s="209" t="s">
        <v>698</v>
      </c>
      <c r="D43" s="210"/>
      <c r="E43" s="211"/>
      <c r="F43" s="211"/>
      <c r="G43" s="211"/>
      <c r="H43" s="212">
        <v>0</v>
      </c>
      <c r="I43" s="213"/>
      <c r="J43" s="213"/>
      <c r="K43" s="214"/>
      <c r="L43" s="213"/>
      <c r="M43" s="213"/>
      <c r="N43" s="213"/>
      <c r="O43" s="213"/>
      <c r="P43" s="215"/>
    </row>
    <row r="44" spans="1:16" x14ac:dyDescent="0.2">
      <c r="A44" s="203"/>
      <c r="B44" s="203"/>
      <c r="C44" s="183" t="s">
        <v>699</v>
      </c>
      <c r="D44" s="184"/>
      <c r="E44" s="216"/>
      <c r="F44" s="216"/>
      <c r="G44" s="216"/>
      <c r="H44" s="185">
        <f>81086</f>
        <v>81086</v>
      </c>
      <c r="I44" s="217"/>
      <c r="J44" s="217"/>
      <c r="K44" s="218"/>
      <c r="L44" s="217"/>
      <c r="M44" s="217"/>
      <c r="N44" s="217"/>
      <c r="O44" s="217"/>
      <c r="P44" s="219"/>
    </row>
    <row r="45" spans="1:16" x14ac:dyDescent="0.2">
      <c r="A45" s="203"/>
      <c r="B45" s="203"/>
      <c r="C45" s="183" t="s">
        <v>700</v>
      </c>
      <c r="D45" s="184"/>
      <c r="E45" s="216"/>
      <c r="F45" s="216"/>
      <c r="G45" s="216"/>
      <c r="H45" s="220">
        <f>H43-H10</f>
        <v>0</v>
      </c>
      <c r="I45" s="217"/>
      <c r="J45" s="217"/>
      <c r="K45" s="218"/>
      <c r="L45" s="217"/>
      <c r="M45" s="217"/>
      <c r="N45" s="217"/>
      <c r="O45" s="217"/>
      <c r="P45" s="219"/>
    </row>
    <row r="46" spans="1:16" x14ac:dyDescent="0.2">
      <c r="A46" s="221"/>
      <c r="B46" s="221"/>
      <c r="C46" s="183" t="s">
        <v>701</v>
      </c>
      <c r="D46" s="184"/>
      <c r="E46" s="217"/>
      <c r="F46" s="217"/>
      <c r="G46" s="217"/>
      <c r="H46" s="220">
        <f>H44-H42</f>
        <v>-5041</v>
      </c>
      <c r="I46" s="217"/>
      <c r="J46" s="217"/>
      <c r="K46" s="218"/>
      <c r="L46" s="217"/>
      <c r="M46" s="217"/>
      <c r="N46" s="217"/>
      <c r="O46" s="217"/>
      <c r="P46" s="219"/>
    </row>
    <row r="48" spans="1:16" s="157" customFormat="1" ht="27" customHeight="1" thickBot="1" x14ac:dyDescent="0.25">
      <c r="A48" s="158" t="s">
        <v>687</v>
      </c>
      <c r="B48" s="158" t="s">
        <v>687</v>
      </c>
      <c r="M48" s="406" t="s">
        <v>690</v>
      </c>
      <c r="N48" s="406"/>
      <c r="O48" s="406"/>
    </row>
    <row r="49" spans="1:15" s="157" customFormat="1" ht="51.75" thickBot="1" x14ac:dyDescent="0.25">
      <c r="A49" s="225"/>
      <c r="B49" s="225"/>
      <c r="C49" s="229" t="s">
        <v>633</v>
      </c>
      <c r="D49" s="249"/>
      <c r="E49" s="234" t="s">
        <v>749</v>
      </c>
      <c r="F49" s="234" t="s">
        <v>750</v>
      </c>
      <c r="G49" s="234" t="s">
        <v>751</v>
      </c>
      <c r="H49" s="294" t="s">
        <v>747</v>
      </c>
      <c r="I49" s="234" t="s">
        <v>748</v>
      </c>
      <c r="J49" s="234" t="s">
        <v>745</v>
      </c>
      <c r="K49" s="295" t="s">
        <v>641</v>
      </c>
      <c r="M49" s="145"/>
      <c r="N49" s="145" t="s">
        <v>693</v>
      </c>
      <c r="O49" s="145" t="s">
        <v>694</v>
      </c>
    </row>
    <row r="50" spans="1:15" s="157" customFormat="1" x14ac:dyDescent="0.2">
      <c r="A50" s="225"/>
      <c r="B50" s="225"/>
      <c r="C50" s="194" t="s">
        <v>970</v>
      </c>
      <c r="D50" s="336"/>
      <c r="E50" s="226"/>
      <c r="F50" s="226"/>
      <c r="G50" s="226"/>
      <c r="H50" s="226">
        <v>5041</v>
      </c>
      <c r="I50" s="226"/>
      <c r="J50" s="227">
        <f>I50-H50</f>
        <v>-5041</v>
      </c>
      <c r="K50" s="228">
        <f>(I50-H50)/H50</f>
        <v>-1</v>
      </c>
      <c r="M50" s="146" t="s">
        <v>691</v>
      </c>
      <c r="N50" s="146">
        <v>1</v>
      </c>
      <c r="O50" s="146">
        <v>0</v>
      </c>
    </row>
    <row r="51" spans="1:15" s="157" customFormat="1" x14ac:dyDescent="0.2">
      <c r="M51" s="146" t="s">
        <v>692</v>
      </c>
      <c r="N51" s="146"/>
      <c r="O51" s="146"/>
    </row>
    <row r="52" spans="1:15" s="157" customFormat="1" x14ac:dyDescent="0.2">
      <c r="M52" s="146" t="s">
        <v>23</v>
      </c>
      <c r="N52" s="146">
        <f>SUM(N50:N51)</f>
        <v>1</v>
      </c>
      <c r="O52" s="146">
        <f>SUM(O50:O51)</f>
        <v>0</v>
      </c>
    </row>
    <row r="53" spans="1:15" s="157" customFormat="1" x14ac:dyDescent="0.2"/>
    <row r="54" spans="1:15" s="157" customFormat="1" x14ac:dyDescent="0.2"/>
    <row r="55" spans="1:15" s="157" customFormat="1" x14ac:dyDescent="0.2"/>
  </sheetData>
  <mergeCells count="2">
    <mergeCell ref="L3:N3"/>
    <mergeCell ref="M48:O48"/>
  </mergeCells>
  <pageMargins left="0.25" right="0.25" top="0.67708333333333304" bottom="0.35416666666666702" header="0.3" footer="0.3"/>
  <pageSetup paperSize="5" scale="70" orientation="landscape" r:id="rId1"/>
  <headerFooter>
    <oddHeader>&amp;C&amp;"Calibri,Bold"&amp;A</oddHeader>
    <oddFooter>&amp;Rprinted:  &amp;D&amp;T</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56"/>
  <sheetViews>
    <sheetView showGridLines="0" topLeftCell="A34"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874</v>
      </c>
      <c r="O1" s="164"/>
    </row>
    <row r="2" spans="1:19" ht="23.25" customHeight="1" thickBot="1" x14ac:dyDescent="0.3">
      <c r="A2" s="290" t="s">
        <v>810</v>
      </c>
      <c r="B2" s="232"/>
      <c r="C2" s="292" t="s">
        <v>875</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31807.01+22257.23</f>
        <v>54064.24</v>
      </c>
      <c r="F6" s="171">
        <f>35284.55+22328.26</f>
        <v>57612.81</v>
      </c>
      <c r="G6" s="171">
        <f>35252.03+10274.66</f>
        <v>45526.69</v>
      </c>
      <c r="H6" s="171">
        <f>SUM('FT Salaries'!E62)</f>
        <v>55536.28</v>
      </c>
      <c r="I6" s="172">
        <f>SUM(H6)</f>
        <v>55536.28</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54064.24</v>
      </c>
      <c r="F8" s="179">
        <f>SUM(F6:F7)</f>
        <v>57612.81</v>
      </c>
      <c r="G8" s="179">
        <f>SUM(G6:G7)</f>
        <v>45526.69</v>
      </c>
      <c r="H8" s="179">
        <f>SUM(H6:H7)</f>
        <v>55536.28</v>
      </c>
      <c r="I8" s="179">
        <f>SUM(I6:I7)</f>
        <v>55536.28</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591</v>
      </c>
      <c r="B12" s="318">
        <v>601307</v>
      </c>
      <c r="C12" s="146" t="s">
        <v>590</v>
      </c>
      <c r="D12" s="170"/>
      <c r="E12" s="171">
        <v>7492.64</v>
      </c>
      <c r="F12" s="171">
        <v>392.40000000000003</v>
      </c>
      <c r="G12" s="171">
        <v>4982.3599999999997</v>
      </c>
      <c r="H12" s="171">
        <v>8354</v>
      </c>
      <c r="I12" s="172">
        <v>8000</v>
      </c>
      <c r="J12" s="173">
        <f t="shared" si="1"/>
        <v>-354</v>
      </c>
      <c r="K12" s="174">
        <f t="shared" ref="K12:K18" si="2">(I12-H12)/H12</f>
        <v>-4.2374910222647832E-2</v>
      </c>
      <c r="L12" s="172"/>
      <c r="M12" s="175"/>
      <c r="N12" s="175"/>
      <c r="O12" s="175"/>
      <c r="P12" s="147"/>
      <c r="Q12" s="157"/>
      <c r="R12" s="157"/>
      <c r="S12" s="157"/>
    </row>
    <row r="13" spans="1:19" x14ac:dyDescent="0.2">
      <c r="A13" s="169"/>
      <c r="C13" s="146"/>
      <c r="D13" s="170"/>
      <c r="E13" s="171"/>
      <c r="F13" s="171"/>
      <c r="G13" s="171"/>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7492.64</v>
      </c>
      <c r="F18" s="185">
        <f t="shared" ref="F18:I18" si="3">SUM(F12:F17)</f>
        <v>392.40000000000003</v>
      </c>
      <c r="G18" s="185">
        <f t="shared" si="3"/>
        <v>4982.3599999999997</v>
      </c>
      <c r="H18" s="185">
        <f t="shared" si="3"/>
        <v>8354</v>
      </c>
      <c r="I18" s="185">
        <f t="shared" si="3"/>
        <v>8000</v>
      </c>
      <c r="J18" s="185">
        <f t="shared" si="1"/>
        <v>-354</v>
      </c>
      <c r="K18" s="186">
        <f t="shared" si="2"/>
        <v>-4.2374910222647832E-2</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1570.5</v>
      </c>
      <c r="F21" s="196"/>
      <c r="G21" s="196"/>
      <c r="H21" s="196"/>
      <c r="I21" s="196"/>
      <c r="J21" s="197">
        <f t="shared" ref="J21:J42" si="5">I21-H21</f>
        <v>0</v>
      </c>
      <c r="K21" s="198" t="e">
        <f t="shared" ref="K21:K42" si="6">(I21-H21)/H21</f>
        <v>#DIV/0!</v>
      </c>
      <c r="L21" s="196"/>
      <c r="M21" s="196"/>
      <c r="N21" s="196"/>
      <c r="O21" s="196"/>
      <c r="P21" s="199"/>
    </row>
    <row r="22" spans="1:19" ht="31.5" customHeight="1" x14ac:dyDescent="0.2">
      <c r="A22" s="193" t="s">
        <v>416</v>
      </c>
      <c r="B22" s="318">
        <v>702200</v>
      </c>
      <c r="C22" s="194" t="s">
        <v>11</v>
      </c>
      <c r="D22" s="195"/>
      <c r="E22" s="196">
        <v>9901.9600000000009</v>
      </c>
      <c r="F22" s="196">
        <v>4114.22</v>
      </c>
      <c r="G22" s="196">
        <v>10553.85</v>
      </c>
      <c r="H22" s="196">
        <v>5000</v>
      </c>
      <c r="I22" s="196">
        <f>3000+7500</f>
        <v>10500</v>
      </c>
      <c r="J22" s="197">
        <f t="shared" si="5"/>
        <v>5500</v>
      </c>
      <c r="K22" s="198">
        <f t="shared" si="6"/>
        <v>1.1000000000000001</v>
      </c>
      <c r="L22" s="196"/>
      <c r="M22" s="196"/>
      <c r="N22" s="196"/>
      <c r="O22" s="196">
        <v>1359</v>
      </c>
      <c r="P22" s="199" t="s">
        <v>1076</v>
      </c>
    </row>
    <row r="23" spans="1:19" ht="31.5" customHeight="1" x14ac:dyDescent="0.2">
      <c r="A23" s="193" t="s">
        <v>387</v>
      </c>
      <c r="B23" s="318">
        <v>701406</v>
      </c>
      <c r="C23" s="194" t="s">
        <v>386</v>
      </c>
      <c r="D23" s="195"/>
      <c r="E23" s="196">
        <v>225</v>
      </c>
      <c r="F23" s="196"/>
      <c r="G23" s="196">
        <v>350</v>
      </c>
      <c r="H23" s="196">
        <v>792.5</v>
      </c>
      <c r="I23" s="196">
        <v>793</v>
      </c>
      <c r="J23" s="197">
        <f t="shared" si="5"/>
        <v>0.5</v>
      </c>
      <c r="K23" s="198">
        <f t="shared" si="6"/>
        <v>6.3091482649842276E-4</v>
      </c>
      <c r="L23" s="196"/>
      <c r="M23" s="196"/>
      <c r="N23" s="196"/>
      <c r="O23" s="196"/>
      <c r="P23" s="199"/>
    </row>
    <row r="24" spans="1:19" ht="31.5" customHeight="1" x14ac:dyDescent="0.2">
      <c r="A24" s="193" t="s">
        <v>377</v>
      </c>
      <c r="B24" s="318">
        <v>701500</v>
      </c>
      <c r="C24" s="194" t="s">
        <v>376</v>
      </c>
      <c r="D24" s="195"/>
      <c r="E24" s="196">
        <v>380</v>
      </c>
      <c r="F24" s="196">
        <v>680</v>
      </c>
      <c r="G24" s="196"/>
      <c r="H24" s="196">
        <v>350</v>
      </c>
      <c r="I24" s="196">
        <v>350</v>
      </c>
      <c r="J24" s="197">
        <f t="shared" si="5"/>
        <v>0</v>
      </c>
      <c r="K24" s="198">
        <f t="shared" si="6"/>
        <v>0</v>
      </c>
      <c r="L24" s="196"/>
      <c r="M24" s="196"/>
      <c r="N24" s="196"/>
      <c r="O24" s="196"/>
      <c r="P24" s="199"/>
    </row>
    <row r="25" spans="1:19" ht="31.5" customHeight="1" x14ac:dyDescent="0.2">
      <c r="A25" s="193" t="s">
        <v>363</v>
      </c>
      <c r="B25" s="318">
        <v>701603</v>
      </c>
      <c r="C25" s="194" t="s">
        <v>362</v>
      </c>
      <c r="D25" s="195"/>
      <c r="E25" s="196">
        <v>1496.8700000000001</v>
      </c>
      <c r="F25" s="196">
        <v>320.37</v>
      </c>
      <c r="G25" s="196">
        <v>792.5</v>
      </c>
      <c r="H25" s="196">
        <f>700+500</f>
        <v>1200</v>
      </c>
      <c r="I25" s="196">
        <v>2000</v>
      </c>
      <c r="J25" s="197">
        <f t="shared" si="5"/>
        <v>800</v>
      </c>
      <c r="K25" s="198">
        <f t="shared" si="6"/>
        <v>0.66666666666666663</v>
      </c>
      <c r="L25" s="196"/>
      <c r="M25" s="196"/>
      <c r="N25" s="196"/>
      <c r="O25" s="196"/>
      <c r="P25" s="199"/>
    </row>
    <row r="26" spans="1:19" ht="31.5" customHeight="1" x14ac:dyDescent="0.2">
      <c r="A26" s="193" t="s">
        <v>361</v>
      </c>
      <c r="B26" s="318">
        <v>705001</v>
      </c>
      <c r="C26" s="194" t="s">
        <v>360</v>
      </c>
      <c r="D26" s="195"/>
      <c r="E26" s="196">
        <v>3270</v>
      </c>
      <c r="F26" s="196">
        <v>2526.88</v>
      </c>
      <c r="G26" s="196">
        <v>6264.02</v>
      </c>
      <c r="H26" s="196">
        <v>4266</v>
      </c>
      <c r="I26" s="196">
        <v>4000</v>
      </c>
      <c r="J26" s="197">
        <f t="shared" si="5"/>
        <v>-266</v>
      </c>
      <c r="K26" s="198">
        <f t="shared" si="6"/>
        <v>-6.235349273323957E-2</v>
      </c>
      <c r="L26" s="196"/>
      <c r="M26" s="196"/>
      <c r="N26" s="196"/>
      <c r="O26" s="196"/>
      <c r="P26" s="199"/>
    </row>
    <row r="27" spans="1:19" ht="31.5" customHeight="1" x14ac:dyDescent="0.2">
      <c r="A27" s="193" t="s">
        <v>359</v>
      </c>
      <c r="B27" s="318">
        <v>705101</v>
      </c>
      <c r="C27" s="194" t="s">
        <v>358</v>
      </c>
      <c r="D27" s="195"/>
      <c r="E27" s="196">
        <v>18191.32</v>
      </c>
      <c r="F27" s="196">
        <v>20891.990000000002</v>
      </c>
      <c r="G27" s="196">
        <v>18824.650000000001</v>
      </c>
      <c r="H27" s="196">
        <v>23503</v>
      </c>
      <c r="I27" s="196">
        <v>20546</v>
      </c>
      <c r="J27" s="197">
        <f t="shared" si="5"/>
        <v>-2957</v>
      </c>
      <c r="K27" s="198">
        <f t="shared" si="6"/>
        <v>-0.12581372590733098</v>
      </c>
      <c r="L27" s="196"/>
      <c r="M27" s="196"/>
      <c r="N27" s="196"/>
      <c r="O27" s="196"/>
      <c r="P27" s="199"/>
    </row>
    <row r="28" spans="1:19" ht="31.5" customHeight="1" x14ac:dyDescent="0.2">
      <c r="A28" s="193" t="s">
        <v>357</v>
      </c>
      <c r="B28" s="318">
        <v>705002</v>
      </c>
      <c r="C28" s="194" t="s">
        <v>356</v>
      </c>
      <c r="D28" s="195"/>
      <c r="E28" s="196">
        <v>234.45000000000002</v>
      </c>
      <c r="F28" s="196">
        <v>457.15000000000003</v>
      </c>
      <c r="G28" s="196">
        <v>342.42</v>
      </c>
      <c r="H28" s="196">
        <v>200</v>
      </c>
      <c r="I28" s="196"/>
      <c r="J28" s="197">
        <f t="shared" si="5"/>
        <v>-200</v>
      </c>
      <c r="K28" s="198">
        <f t="shared" si="6"/>
        <v>-1</v>
      </c>
      <c r="L28" s="196">
        <v>250</v>
      </c>
      <c r="M28" s="196"/>
      <c r="N28" s="196"/>
      <c r="O28" s="196"/>
      <c r="P28" s="199" t="s">
        <v>1075</v>
      </c>
    </row>
    <row r="29" spans="1:19" ht="31.5" customHeight="1" x14ac:dyDescent="0.2">
      <c r="A29" s="193" t="s">
        <v>355</v>
      </c>
      <c r="B29" s="318">
        <v>705102</v>
      </c>
      <c r="C29" s="194" t="s">
        <v>354</v>
      </c>
      <c r="D29" s="195"/>
      <c r="E29" s="196"/>
      <c r="F29" s="196"/>
      <c r="G29" s="196">
        <v>143.38</v>
      </c>
      <c r="H29" s="196">
        <v>100</v>
      </c>
      <c r="I29" s="196"/>
      <c r="J29" s="197">
        <f t="shared" si="5"/>
        <v>-100</v>
      </c>
      <c r="K29" s="198">
        <f t="shared" si="6"/>
        <v>-1</v>
      </c>
      <c r="L29" s="196">
        <v>100</v>
      </c>
      <c r="M29" s="196"/>
      <c r="N29" s="196"/>
      <c r="O29" s="196"/>
      <c r="P29" s="199"/>
    </row>
    <row r="30" spans="1:19" ht="31.5" customHeight="1" x14ac:dyDescent="0.2">
      <c r="A30" s="193" t="s">
        <v>349</v>
      </c>
      <c r="B30" s="318">
        <v>705100</v>
      </c>
      <c r="C30" s="194" t="s">
        <v>348</v>
      </c>
      <c r="D30" s="195"/>
      <c r="E30" s="196">
        <v>38.44</v>
      </c>
      <c r="F30" s="196">
        <v>2637.65</v>
      </c>
      <c r="G30" s="196">
        <v>35.32</v>
      </c>
      <c r="H30" s="196">
        <v>1579.43</v>
      </c>
      <c r="I30" s="196">
        <v>1000</v>
      </c>
      <c r="J30" s="197">
        <f t="shared" si="5"/>
        <v>-579.43000000000006</v>
      </c>
      <c r="K30" s="198">
        <f t="shared" si="6"/>
        <v>-0.36686019639996709</v>
      </c>
      <c r="L30" s="196"/>
      <c r="M30" s="196"/>
      <c r="N30" s="196"/>
      <c r="O30" s="196"/>
      <c r="P30" s="199"/>
    </row>
    <row r="31" spans="1:19" ht="31.5" customHeight="1" x14ac:dyDescent="0.2">
      <c r="A31" s="193" t="s">
        <v>276</v>
      </c>
      <c r="B31" s="319">
        <v>706605</v>
      </c>
      <c r="C31" s="194" t="s">
        <v>275</v>
      </c>
      <c r="D31" s="195"/>
      <c r="E31" s="196">
        <v>324.55</v>
      </c>
      <c r="F31" s="196">
        <v>325.45999999999998</v>
      </c>
      <c r="G31" s="196">
        <v>27.07</v>
      </c>
      <c r="H31" s="196"/>
      <c r="I31" s="196"/>
      <c r="J31" s="197">
        <f t="shared" si="5"/>
        <v>0</v>
      </c>
      <c r="K31" s="198" t="e">
        <f t="shared" si="6"/>
        <v>#DIV/0!</v>
      </c>
      <c r="L31" s="196"/>
      <c r="M31" s="196"/>
      <c r="N31" s="196"/>
      <c r="O31" s="196"/>
      <c r="P31" s="199"/>
    </row>
    <row r="32" spans="1:19" ht="31.5" customHeight="1" x14ac:dyDescent="0.2">
      <c r="A32" s="193" t="s">
        <v>258</v>
      </c>
      <c r="B32" s="318">
        <v>707101</v>
      </c>
      <c r="C32" s="194" t="s">
        <v>257</v>
      </c>
      <c r="D32" s="195"/>
      <c r="E32" s="196"/>
      <c r="F32" s="196"/>
      <c r="G32" s="196">
        <v>297.93</v>
      </c>
      <c r="H32" s="196">
        <v>27.07</v>
      </c>
      <c r="I32" s="196"/>
      <c r="J32" s="197">
        <f t="shared" si="5"/>
        <v>-27.07</v>
      </c>
      <c r="K32" s="198">
        <f t="shared" si="6"/>
        <v>-1</v>
      </c>
      <c r="L32" s="196"/>
      <c r="M32" s="196"/>
      <c r="N32" s="196"/>
      <c r="O32" s="196"/>
      <c r="P32" s="199"/>
    </row>
    <row r="33" spans="1:16" ht="31.5" customHeight="1" x14ac:dyDescent="0.2">
      <c r="A33" s="193" t="s">
        <v>230</v>
      </c>
      <c r="B33" s="318">
        <v>707151</v>
      </c>
      <c r="C33" s="194" t="s">
        <v>15</v>
      </c>
      <c r="D33" s="195"/>
      <c r="E33" s="196">
        <v>84.84</v>
      </c>
      <c r="F33" s="196">
        <v>88.710000000000008</v>
      </c>
      <c r="G33" s="196">
        <v>97.5</v>
      </c>
      <c r="H33" s="196">
        <f>7.5*12</f>
        <v>90</v>
      </c>
      <c r="I33" s="196">
        <v>90</v>
      </c>
      <c r="J33" s="197">
        <f t="shared" si="5"/>
        <v>0</v>
      </c>
      <c r="K33" s="198">
        <f t="shared" si="6"/>
        <v>0</v>
      </c>
      <c r="L33" s="196"/>
      <c r="M33" s="196"/>
      <c r="N33" s="196"/>
      <c r="O33" s="196"/>
      <c r="P33" s="199"/>
    </row>
    <row r="34" spans="1:16" ht="31.5" customHeight="1" x14ac:dyDescent="0.2">
      <c r="A34" s="193" t="s">
        <v>229</v>
      </c>
      <c r="B34" s="318">
        <v>707151</v>
      </c>
      <c r="C34" s="194" t="s">
        <v>16</v>
      </c>
      <c r="D34" s="195"/>
      <c r="E34" s="196"/>
      <c r="F34" s="196"/>
      <c r="G34" s="196"/>
      <c r="H34" s="196">
        <v>5</v>
      </c>
      <c r="I34" s="196">
        <v>5</v>
      </c>
      <c r="J34" s="197">
        <f t="shared" si="5"/>
        <v>0</v>
      </c>
      <c r="K34" s="198">
        <f t="shared" si="6"/>
        <v>0</v>
      </c>
      <c r="L34" s="196"/>
      <c r="M34" s="196"/>
      <c r="N34" s="196"/>
      <c r="O34" s="196"/>
      <c r="P34" s="199"/>
    </row>
    <row r="35" spans="1:16" ht="31.5" customHeight="1" x14ac:dyDescent="0.2">
      <c r="A35" s="193" t="s">
        <v>203</v>
      </c>
      <c r="B35" s="318">
        <v>707301</v>
      </c>
      <c r="C35" s="194" t="s">
        <v>18</v>
      </c>
      <c r="D35" s="195"/>
      <c r="E35" s="196">
        <v>2909.28</v>
      </c>
      <c r="F35" s="196">
        <v>2038.3700000000001</v>
      </c>
      <c r="G35" s="196">
        <v>900</v>
      </c>
      <c r="H35" s="196">
        <v>6625</v>
      </c>
      <c r="I35" s="196">
        <v>6000</v>
      </c>
      <c r="J35" s="197">
        <f t="shared" si="5"/>
        <v>-625</v>
      </c>
      <c r="K35" s="198">
        <f t="shared" si="6"/>
        <v>-9.4339622641509441E-2</v>
      </c>
      <c r="L35" s="196"/>
      <c r="M35" s="196"/>
      <c r="N35" s="196"/>
      <c r="O35" s="196"/>
      <c r="P35" s="199"/>
    </row>
    <row r="36" spans="1:16" ht="31.5" customHeight="1" x14ac:dyDescent="0.2">
      <c r="A36" s="193" t="s">
        <v>177</v>
      </c>
      <c r="B36" s="318">
        <v>707505</v>
      </c>
      <c r="C36" s="194" t="s">
        <v>176</v>
      </c>
      <c r="D36" s="195"/>
      <c r="E36" s="196"/>
      <c r="F36" s="196">
        <v>256.06</v>
      </c>
      <c r="G36" s="196"/>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31.5" customHeight="1" x14ac:dyDescent="0.2">
      <c r="A40" s="193"/>
      <c r="B40" s="193"/>
      <c r="C40" s="194"/>
      <c r="D40" s="195"/>
      <c r="E40" s="196"/>
      <c r="F40" s="196"/>
      <c r="G40" s="196"/>
      <c r="H40" s="196"/>
      <c r="I40" s="196"/>
      <c r="J40" s="197">
        <f t="shared" si="5"/>
        <v>0</v>
      </c>
      <c r="K40" s="198" t="e">
        <f t="shared" si="6"/>
        <v>#DIV/0!</v>
      </c>
      <c r="L40" s="196"/>
      <c r="M40" s="196"/>
      <c r="N40" s="196"/>
      <c r="O40" s="196"/>
      <c r="P40" s="199"/>
    </row>
    <row r="41" spans="1:16" ht="31.5" customHeight="1" x14ac:dyDescent="0.2">
      <c r="A41" s="193"/>
      <c r="B41" s="193"/>
      <c r="C41" s="194"/>
      <c r="D41" s="195"/>
      <c r="E41" s="196"/>
      <c r="F41" s="196"/>
      <c r="G41" s="196"/>
      <c r="H41" s="196"/>
      <c r="I41" s="196"/>
      <c r="J41" s="197">
        <f t="shared" si="5"/>
        <v>0</v>
      </c>
      <c r="K41" s="198" t="e">
        <f t="shared" si="6"/>
        <v>#DIV/0!</v>
      </c>
      <c r="L41" s="196"/>
      <c r="M41" s="196"/>
      <c r="N41" s="196"/>
      <c r="O41" s="196"/>
      <c r="P41" s="199"/>
    </row>
    <row r="42" spans="1:16" ht="13.5" thickBot="1" x14ac:dyDescent="0.25">
      <c r="A42" s="200"/>
      <c r="B42" s="200"/>
      <c r="C42" s="177" t="s">
        <v>22</v>
      </c>
      <c r="D42" s="201"/>
      <c r="E42" s="180">
        <f>SUM(E21:E41)</f>
        <v>38627.21</v>
      </c>
      <c r="F42" s="180">
        <f>SUM(F21:F41)</f>
        <v>34336.86</v>
      </c>
      <c r="G42" s="180">
        <f>SUM(G21:G41)</f>
        <v>38628.639999999999</v>
      </c>
      <c r="H42" s="180">
        <f>SUM(H21:H41)</f>
        <v>43738</v>
      </c>
      <c r="I42" s="180">
        <f>SUM(I21:I41)</f>
        <v>45284</v>
      </c>
      <c r="J42" s="180">
        <f t="shared" si="5"/>
        <v>1546</v>
      </c>
      <c r="K42" s="181">
        <f t="shared" si="6"/>
        <v>3.5346837989848646E-2</v>
      </c>
      <c r="L42" s="180">
        <f>SUM(L21:L41)</f>
        <v>350</v>
      </c>
      <c r="M42" s="180">
        <f>SUM(M21:M41)</f>
        <v>0</v>
      </c>
      <c r="N42" s="180">
        <f>SUM(N21:N41)</f>
        <v>0</v>
      </c>
      <c r="O42" s="180">
        <f>SUM(O21:O41)</f>
        <v>1359</v>
      </c>
      <c r="P42" s="202"/>
    </row>
    <row r="43" spans="1:16" ht="13.5" thickBot="1" x14ac:dyDescent="0.25">
      <c r="A43" s="203"/>
      <c r="B43" s="203"/>
      <c r="C43" s="204" t="s">
        <v>702</v>
      </c>
      <c r="D43" s="205"/>
      <c r="E43" s="206">
        <f>E18+E42</f>
        <v>46119.85</v>
      </c>
      <c r="F43" s="206">
        <f>F18+F42</f>
        <v>34729.26</v>
      </c>
      <c r="G43" s="206">
        <f>G18+G42</f>
        <v>43611</v>
      </c>
      <c r="H43" s="206">
        <f>H18+H42</f>
        <v>52092</v>
      </c>
      <c r="I43" s="206">
        <f>I18+I42</f>
        <v>53284</v>
      </c>
      <c r="J43" s="206">
        <f>I43-H43</f>
        <v>1192</v>
      </c>
      <c r="K43" s="207">
        <f>(I43-H43)/H43</f>
        <v>2.2882592336635185E-2</v>
      </c>
      <c r="L43" s="206">
        <f>L18+L42</f>
        <v>350</v>
      </c>
      <c r="M43" s="206">
        <f>M18+M42</f>
        <v>0</v>
      </c>
      <c r="N43" s="206">
        <f>N18+N42</f>
        <v>0</v>
      </c>
      <c r="O43" s="206">
        <f>O18+O42</f>
        <v>1359</v>
      </c>
      <c r="P43" s="208"/>
    </row>
    <row r="44" spans="1:16" x14ac:dyDescent="0.2">
      <c r="A44" s="203"/>
      <c r="B44" s="203"/>
      <c r="C44" s="209" t="s">
        <v>698</v>
      </c>
      <c r="D44" s="210"/>
      <c r="E44" s="211"/>
      <c r="F44" s="211"/>
      <c r="G44" s="211"/>
      <c r="H44" s="212">
        <v>0</v>
      </c>
      <c r="I44" s="213"/>
      <c r="J44" s="213"/>
      <c r="K44" s="214"/>
      <c r="L44" s="213"/>
      <c r="M44" s="213"/>
      <c r="N44" s="213"/>
      <c r="O44" s="213"/>
      <c r="P44" s="215"/>
    </row>
    <row r="45" spans="1:16" x14ac:dyDescent="0.2">
      <c r="A45" s="203"/>
      <c r="B45" s="203"/>
      <c r="C45" s="183" t="s">
        <v>699</v>
      </c>
      <c r="D45" s="184"/>
      <c r="E45" s="216"/>
      <c r="F45" s="216"/>
      <c r="G45" s="216"/>
      <c r="H45" s="185">
        <f>41924</f>
        <v>41924</v>
      </c>
      <c r="I45" s="217"/>
      <c r="J45" s="217"/>
      <c r="K45" s="218"/>
      <c r="L45" s="217"/>
      <c r="M45" s="217"/>
      <c r="N45" s="217"/>
      <c r="O45" s="217"/>
      <c r="P45" s="219"/>
    </row>
    <row r="46" spans="1:16" x14ac:dyDescent="0.2">
      <c r="A46" s="203"/>
      <c r="B46" s="203"/>
      <c r="C46" s="183" t="s">
        <v>700</v>
      </c>
      <c r="D46" s="184"/>
      <c r="E46" s="216"/>
      <c r="F46" s="216"/>
      <c r="G46" s="216"/>
      <c r="H46" s="220">
        <f>H44-H10</f>
        <v>0</v>
      </c>
      <c r="I46" s="217"/>
      <c r="J46" s="217"/>
      <c r="K46" s="218"/>
      <c r="L46" s="217"/>
      <c r="M46" s="217"/>
      <c r="N46" s="217"/>
      <c r="O46" s="217"/>
      <c r="P46" s="219"/>
    </row>
    <row r="47" spans="1:16" x14ac:dyDescent="0.2">
      <c r="A47" s="221"/>
      <c r="B47" s="221"/>
      <c r="C47" s="183" t="s">
        <v>701</v>
      </c>
      <c r="D47" s="184"/>
      <c r="E47" s="217"/>
      <c r="F47" s="217"/>
      <c r="G47" s="217"/>
      <c r="H47" s="220">
        <f>H45-H43</f>
        <v>-10168</v>
      </c>
      <c r="I47" s="217"/>
      <c r="J47" s="217"/>
      <c r="K47" s="218"/>
      <c r="L47" s="217"/>
      <c r="M47" s="217"/>
      <c r="N47" s="217"/>
      <c r="O47" s="217"/>
      <c r="P47" s="219"/>
    </row>
    <row r="49" spans="1:15" s="157" customFormat="1" ht="27" customHeight="1" thickBot="1" x14ac:dyDescent="0.25">
      <c r="A49" s="158" t="s">
        <v>687</v>
      </c>
      <c r="B49" s="158" t="s">
        <v>687</v>
      </c>
      <c r="M49" s="406" t="s">
        <v>690</v>
      </c>
      <c r="N49" s="406"/>
      <c r="O49" s="406"/>
    </row>
    <row r="50" spans="1:15" s="157" customFormat="1" ht="51.75" thickBot="1" x14ac:dyDescent="0.25">
      <c r="A50" s="225"/>
      <c r="B50" s="225"/>
      <c r="C50" s="229" t="s">
        <v>633</v>
      </c>
      <c r="D50" s="249"/>
      <c r="E50" s="234" t="s">
        <v>749</v>
      </c>
      <c r="F50" s="234" t="s">
        <v>750</v>
      </c>
      <c r="G50" s="234" t="s">
        <v>751</v>
      </c>
      <c r="H50" s="294" t="s">
        <v>747</v>
      </c>
      <c r="I50" s="234" t="s">
        <v>748</v>
      </c>
      <c r="J50" s="234" t="s">
        <v>745</v>
      </c>
      <c r="K50" s="295" t="s">
        <v>641</v>
      </c>
      <c r="M50" s="145"/>
      <c r="N50" s="145" t="s">
        <v>693</v>
      </c>
      <c r="O50" s="145" t="s">
        <v>694</v>
      </c>
    </row>
    <row r="51" spans="1:15" s="157" customFormat="1" x14ac:dyDescent="0.2">
      <c r="A51" s="225"/>
      <c r="B51" s="225"/>
      <c r="C51" s="194" t="s">
        <v>688</v>
      </c>
      <c r="D51" s="195"/>
      <c r="E51" s="226"/>
      <c r="F51" s="226"/>
      <c r="G51" s="226"/>
      <c r="H51" s="226"/>
      <c r="I51" s="226"/>
      <c r="J51" s="227">
        <f>I51-H51</f>
        <v>0</v>
      </c>
      <c r="K51" s="228" t="e">
        <f>(I51-H51)/H51</f>
        <v>#DIV/0!</v>
      </c>
      <c r="M51" s="146" t="s">
        <v>691</v>
      </c>
      <c r="N51" s="146">
        <v>0.5</v>
      </c>
      <c r="O51" s="146"/>
    </row>
    <row r="52" spans="1:15" s="157" customFormat="1" x14ac:dyDescent="0.2">
      <c r="M52" s="146" t="s">
        <v>692</v>
      </c>
      <c r="N52" s="146"/>
      <c r="O52" s="146"/>
    </row>
    <row r="53" spans="1:15" s="157" customFormat="1" x14ac:dyDescent="0.2">
      <c r="M53" s="146" t="s">
        <v>23</v>
      </c>
      <c r="N53" s="146">
        <f>SUM(N51:N52)</f>
        <v>0.5</v>
      </c>
      <c r="O53" s="146">
        <f>SUM(O51:O52)</f>
        <v>0</v>
      </c>
    </row>
    <row r="54" spans="1:15" s="157" customFormat="1" x14ac:dyDescent="0.2"/>
    <row r="55" spans="1:15" s="157" customFormat="1" x14ac:dyDescent="0.2"/>
    <row r="56" spans="1:15" s="157" customFormat="1" x14ac:dyDescent="0.2"/>
  </sheetData>
  <mergeCells count="2">
    <mergeCell ref="L3:N3"/>
    <mergeCell ref="M49:O49"/>
  </mergeCells>
  <pageMargins left="0.25" right="0.25" top="0.67708333333333304" bottom="0.35416666666666702" header="0.3" footer="0.3"/>
  <pageSetup paperSize="17" scale="59" orientation="landscape" r:id="rId1"/>
  <headerFooter>
    <oddHeader>&amp;C&amp;"Calibri,Bold"&amp;A</oddHeader>
    <oddFooter>&amp;Rprinted:  &amp;D&amp;T</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55"/>
  <sheetViews>
    <sheetView showGridLines="0" topLeftCell="A31" zoomScaleNormal="100" workbookViewId="0">
      <selection activeCell="H50" sqref="H50"/>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876</v>
      </c>
      <c r="O1" s="164"/>
    </row>
    <row r="2" spans="1:19" ht="23.25" customHeight="1" thickBot="1" x14ac:dyDescent="0.3">
      <c r="A2" s="290" t="s">
        <v>810</v>
      </c>
      <c r="B2" s="232"/>
      <c r="C2" s="292" t="s">
        <v>877</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102609.65+59046.02</f>
        <v>161655.66999999998</v>
      </c>
      <c r="F6" s="171">
        <f>103090.82+59667.99</f>
        <v>162758.81</v>
      </c>
      <c r="G6" s="171">
        <f>102222.26+58753.58</f>
        <v>160975.84</v>
      </c>
      <c r="H6" s="171">
        <f>SUM('FT Salaries'!E98)</f>
        <v>183376</v>
      </c>
      <c r="I6" s="172">
        <f>SUM(H6)</f>
        <v>183376</v>
      </c>
      <c r="J6" s="173">
        <f>I6-H6</f>
        <v>0</v>
      </c>
      <c r="K6" s="174">
        <f>(I6-H6)/H6</f>
        <v>0</v>
      </c>
      <c r="L6" s="172"/>
      <c r="M6" s="175"/>
      <c r="N6" s="175"/>
      <c r="O6" s="175"/>
      <c r="P6" s="147"/>
      <c r="Q6" s="157"/>
      <c r="R6" s="157"/>
      <c r="S6" s="157"/>
    </row>
    <row r="7" spans="1:19" ht="32.25" customHeight="1" x14ac:dyDescent="0.2">
      <c r="A7" s="169"/>
      <c r="B7" s="169"/>
      <c r="C7" s="146"/>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161655.66999999998</v>
      </c>
      <c r="F8" s="179">
        <f>SUM(F6:F7)</f>
        <v>162758.81</v>
      </c>
      <c r="G8" s="179">
        <f>SUM(G6:G7)</f>
        <v>160975.84</v>
      </c>
      <c r="H8" s="179">
        <f>SUM(H6:H7)</f>
        <v>183376</v>
      </c>
      <c r="I8" s="179">
        <f>SUM(I6:I7)</f>
        <v>183376</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12204</v>
      </c>
      <c r="F12" s="171">
        <v>12204</v>
      </c>
      <c r="G12" s="171">
        <v>6102</v>
      </c>
      <c r="H12" s="171"/>
      <c r="I12" s="172"/>
      <c r="J12" s="173">
        <f t="shared" si="1"/>
        <v>0</v>
      </c>
      <c r="K12" s="174" t="e">
        <f t="shared" ref="K12:K18" si="2">(I12-H12)/H12</f>
        <v>#DIV/0!</v>
      </c>
      <c r="L12" s="172"/>
      <c r="M12" s="175"/>
      <c r="N12" s="175"/>
      <c r="O12" s="175"/>
      <c r="P12" s="147"/>
      <c r="Q12" s="157"/>
      <c r="R12" s="157"/>
      <c r="S12" s="157"/>
    </row>
    <row r="13" spans="1:19" x14ac:dyDescent="0.2">
      <c r="A13" s="169" t="s">
        <v>578</v>
      </c>
      <c r="B13" s="318">
        <v>601400</v>
      </c>
      <c r="C13" s="146" t="s">
        <v>577</v>
      </c>
      <c r="D13" s="170"/>
      <c r="E13" s="171"/>
      <c r="F13" s="171">
        <v>1996.8</v>
      </c>
      <c r="G13" s="171">
        <v>2020</v>
      </c>
      <c r="H13" s="171"/>
      <c r="I13" s="172"/>
      <c r="J13" s="173">
        <f t="shared" si="1"/>
        <v>0</v>
      </c>
      <c r="K13" s="174" t="e">
        <f t="shared" si="2"/>
        <v>#DIV/0!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12204</v>
      </c>
      <c r="F18" s="185">
        <f t="shared" ref="F18:I18" si="3">SUM(F12:F17)</f>
        <v>14200.8</v>
      </c>
      <c r="G18" s="185">
        <f t="shared" si="3"/>
        <v>8122</v>
      </c>
      <c r="H18" s="185">
        <f t="shared" si="3"/>
        <v>0</v>
      </c>
      <c r="I18" s="185">
        <f t="shared" si="3"/>
        <v>0</v>
      </c>
      <c r="J18" s="185">
        <f t="shared" si="1"/>
        <v>0</v>
      </c>
      <c r="K18" s="186" t="e">
        <f t="shared" si="2"/>
        <v>#DIV/0!</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316"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432</v>
      </c>
      <c r="B21" s="318">
        <v>702106</v>
      </c>
      <c r="C21" s="194" t="s">
        <v>431</v>
      </c>
      <c r="D21" s="195"/>
      <c r="E21" s="196">
        <v>3709.2000000000003</v>
      </c>
      <c r="F21" s="196">
        <v>4300.6499999999996</v>
      </c>
      <c r="G21" s="196">
        <v>3867</v>
      </c>
      <c r="H21" s="196">
        <v>4302</v>
      </c>
      <c r="I21" s="196">
        <v>4917</v>
      </c>
      <c r="J21" s="197">
        <f t="shared" ref="J21:J41" si="5">I21-H21</f>
        <v>615</v>
      </c>
      <c r="K21" s="198">
        <f t="shared" ref="K21:K41" si="6">(I21-H21)/H21</f>
        <v>0.14295676429567644</v>
      </c>
      <c r="L21" s="196"/>
      <c r="M21" s="196"/>
      <c r="N21" s="196"/>
      <c r="O21" s="196"/>
      <c r="P21" s="199" t="s">
        <v>996</v>
      </c>
    </row>
    <row r="22" spans="1:19" ht="38.25" x14ac:dyDescent="0.2">
      <c r="A22" s="193" t="s">
        <v>416</v>
      </c>
      <c r="B22" s="318">
        <v>702200</v>
      </c>
      <c r="C22" s="194" t="s">
        <v>11</v>
      </c>
      <c r="D22" s="195"/>
      <c r="E22" s="196">
        <v>6317.75</v>
      </c>
      <c r="F22" s="196">
        <v>1250</v>
      </c>
      <c r="G22" s="196">
        <v>5002.92</v>
      </c>
      <c r="H22" s="196"/>
      <c r="I22" s="196">
        <v>9500</v>
      </c>
      <c r="J22" s="197">
        <f t="shared" si="5"/>
        <v>9500</v>
      </c>
      <c r="K22" s="198" t="e">
        <f t="shared" si="6"/>
        <v>#DIV/0!</v>
      </c>
      <c r="L22" s="196"/>
      <c r="M22" s="196"/>
      <c r="N22" s="196"/>
      <c r="O22" s="196"/>
      <c r="P22" s="199" t="s">
        <v>997</v>
      </c>
    </row>
    <row r="23" spans="1:19" ht="31.5" customHeight="1" x14ac:dyDescent="0.2">
      <c r="A23" s="193" t="s">
        <v>387</v>
      </c>
      <c r="B23" s="318">
        <v>701406</v>
      </c>
      <c r="C23" s="194" t="s">
        <v>386</v>
      </c>
      <c r="D23" s="195"/>
      <c r="E23" s="196">
        <v>13755</v>
      </c>
      <c r="F23" s="196">
        <v>9540</v>
      </c>
      <c r="G23" s="196">
        <v>5600</v>
      </c>
      <c r="H23" s="196">
        <v>5845</v>
      </c>
      <c r="I23" s="196">
        <v>12180</v>
      </c>
      <c r="J23" s="197">
        <f t="shared" si="5"/>
        <v>6335</v>
      </c>
      <c r="K23" s="198">
        <f t="shared" si="6"/>
        <v>1.0838323353293413</v>
      </c>
      <c r="L23" s="196"/>
      <c r="M23" s="196"/>
      <c r="N23" s="196"/>
      <c r="O23" s="196"/>
      <c r="P23" s="199" t="s">
        <v>998</v>
      </c>
    </row>
    <row r="24" spans="1:19" ht="31.5" customHeight="1" x14ac:dyDescent="0.2">
      <c r="A24" s="193" t="s">
        <v>377</v>
      </c>
      <c r="B24" s="318">
        <v>701500</v>
      </c>
      <c r="C24" s="194" t="s">
        <v>376</v>
      </c>
      <c r="D24" s="195"/>
      <c r="E24" s="196">
        <v>510</v>
      </c>
      <c r="F24" s="196">
        <v>510</v>
      </c>
      <c r="G24" s="196">
        <v>665</v>
      </c>
      <c r="H24" s="196">
        <v>530</v>
      </c>
      <c r="I24" s="196">
        <v>530</v>
      </c>
      <c r="J24" s="197">
        <f t="shared" si="5"/>
        <v>0</v>
      </c>
      <c r="K24" s="198">
        <f t="shared" si="6"/>
        <v>0</v>
      </c>
      <c r="L24" s="196"/>
      <c r="M24" s="196"/>
      <c r="N24" s="196"/>
      <c r="O24" s="196"/>
      <c r="P24" s="199"/>
    </row>
    <row r="25" spans="1:19" ht="31.5" customHeight="1" x14ac:dyDescent="0.2">
      <c r="A25" s="193" t="s">
        <v>375</v>
      </c>
      <c r="B25" s="318">
        <v>701501</v>
      </c>
      <c r="C25" s="194" t="s">
        <v>374</v>
      </c>
      <c r="D25" s="195"/>
      <c r="E25" s="196">
        <v>595</v>
      </c>
      <c r="F25" s="196">
        <v>595</v>
      </c>
      <c r="G25" s="196">
        <v>595</v>
      </c>
      <c r="H25" s="196">
        <v>595</v>
      </c>
      <c r="I25" s="196">
        <v>1045</v>
      </c>
      <c r="J25" s="197">
        <f t="shared" si="5"/>
        <v>450</v>
      </c>
      <c r="K25" s="198">
        <f t="shared" si="6"/>
        <v>0.75630252100840334</v>
      </c>
      <c r="L25" s="196"/>
      <c r="M25" s="196"/>
      <c r="N25" s="196"/>
      <c r="O25" s="196"/>
      <c r="P25" s="199" t="s">
        <v>999</v>
      </c>
    </row>
    <row r="26" spans="1:19" ht="31.5" customHeight="1" x14ac:dyDescent="0.2">
      <c r="A26" s="193" t="s">
        <v>363</v>
      </c>
      <c r="B26" s="318">
        <v>701603</v>
      </c>
      <c r="C26" s="194" t="s">
        <v>362</v>
      </c>
      <c r="D26" s="195"/>
      <c r="E26" s="196">
        <v>550</v>
      </c>
      <c r="F26" s="196"/>
      <c r="G26" s="196">
        <v>0</v>
      </c>
      <c r="H26" s="196">
        <v>650</v>
      </c>
      <c r="I26" s="196">
        <v>650</v>
      </c>
      <c r="J26" s="197">
        <f t="shared" si="5"/>
        <v>0</v>
      </c>
      <c r="K26" s="198">
        <f t="shared" si="6"/>
        <v>0</v>
      </c>
      <c r="L26" s="196"/>
      <c r="M26" s="196"/>
      <c r="N26" s="196"/>
      <c r="O26" s="196"/>
      <c r="P26" s="199"/>
    </row>
    <row r="27" spans="1:19" ht="31.5" customHeight="1" x14ac:dyDescent="0.2">
      <c r="A27" s="193" t="s">
        <v>361</v>
      </c>
      <c r="B27" s="318">
        <v>705001</v>
      </c>
      <c r="C27" s="194" t="s">
        <v>360</v>
      </c>
      <c r="D27" s="195"/>
      <c r="E27" s="196">
        <v>374.03000000000003</v>
      </c>
      <c r="F27" s="196">
        <v>1081.73</v>
      </c>
      <c r="G27" s="196">
        <v>1597.6200000000001</v>
      </c>
      <c r="H27" s="196">
        <v>2415</v>
      </c>
      <c r="I27" s="196">
        <v>2398</v>
      </c>
      <c r="J27" s="197">
        <f t="shared" si="5"/>
        <v>-17</v>
      </c>
      <c r="K27" s="198">
        <f t="shared" si="6"/>
        <v>-7.0393374741200831E-3</v>
      </c>
      <c r="L27" s="196"/>
      <c r="M27" s="196"/>
      <c r="N27" s="196"/>
      <c r="O27" s="196"/>
      <c r="P27" s="199"/>
    </row>
    <row r="28" spans="1:19" ht="38.25" x14ac:dyDescent="0.2">
      <c r="A28" s="193" t="s">
        <v>359</v>
      </c>
      <c r="B28" s="318">
        <v>705101</v>
      </c>
      <c r="C28" s="194" t="s">
        <v>358</v>
      </c>
      <c r="D28" s="195"/>
      <c r="E28" s="196">
        <v>28451.13</v>
      </c>
      <c r="F28" s="196">
        <v>26597.670000000002</v>
      </c>
      <c r="G28" s="196">
        <v>37217.4</v>
      </c>
      <c r="H28" s="196">
        <v>22262</v>
      </c>
      <c r="I28" s="196">
        <v>29667</v>
      </c>
      <c r="J28" s="197">
        <f t="shared" si="5"/>
        <v>7405</v>
      </c>
      <c r="K28" s="198">
        <f t="shared" si="6"/>
        <v>0.332629593028479</v>
      </c>
      <c r="L28" s="196"/>
      <c r="M28" s="196"/>
      <c r="N28" s="196"/>
      <c r="O28" s="196"/>
      <c r="P28" s="199" t="s">
        <v>1000</v>
      </c>
    </row>
    <row r="29" spans="1:19" ht="31.5" customHeight="1" x14ac:dyDescent="0.2">
      <c r="A29" s="193" t="s">
        <v>357</v>
      </c>
      <c r="B29" s="318">
        <v>705002</v>
      </c>
      <c r="C29" s="194" t="s">
        <v>356</v>
      </c>
      <c r="D29" s="195"/>
      <c r="E29" s="196">
        <v>960.44</v>
      </c>
      <c r="F29" s="196">
        <v>252</v>
      </c>
      <c r="G29" s="196">
        <v>47</v>
      </c>
      <c r="H29" s="196">
        <v>3446</v>
      </c>
      <c r="I29" s="196"/>
      <c r="J29" s="197">
        <f t="shared" si="5"/>
        <v>-3446</v>
      </c>
      <c r="K29" s="198">
        <f t="shared" si="6"/>
        <v>-1</v>
      </c>
      <c r="L29" s="196">
        <v>2000</v>
      </c>
      <c r="M29" s="196"/>
      <c r="N29" s="196"/>
      <c r="O29" s="196"/>
      <c r="P29" s="199" t="s">
        <v>1001</v>
      </c>
    </row>
    <row r="30" spans="1:19" ht="31.5" customHeight="1" x14ac:dyDescent="0.2">
      <c r="A30" s="193" t="s">
        <v>355</v>
      </c>
      <c r="B30" s="318">
        <v>705102</v>
      </c>
      <c r="C30" s="194" t="s">
        <v>354</v>
      </c>
      <c r="D30" s="195"/>
      <c r="E30" s="196">
        <v>6385.81</v>
      </c>
      <c r="F30" s="196">
        <v>3589.9500000000003</v>
      </c>
      <c r="G30" s="196">
        <v>5050.63</v>
      </c>
      <c r="H30" s="196">
        <v>7500</v>
      </c>
      <c r="I30" s="196"/>
      <c r="J30" s="197">
        <f t="shared" si="5"/>
        <v>-7500</v>
      </c>
      <c r="K30" s="198">
        <f t="shared" si="6"/>
        <v>-1</v>
      </c>
      <c r="L30" s="196">
        <v>6000</v>
      </c>
      <c r="M30" s="196"/>
      <c r="N30" s="196"/>
      <c r="O30" s="196">
        <v>1862</v>
      </c>
      <c r="P30" s="199" t="s">
        <v>1001</v>
      </c>
    </row>
    <row r="31" spans="1:19" ht="31.5" customHeight="1" x14ac:dyDescent="0.2">
      <c r="A31" s="193" t="s">
        <v>349</v>
      </c>
      <c r="B31" s="318">
        <v>705100</v>
      </c>
      <c r="C31" s="194" t="s">
        <v>348</v>
      </c>
      <c r="D31" s="195"/>
      <c r="E31" s="196"/>
      <c r="F31" s="196">
        <v>849.96</v>
      </c>
      <c r="G31" s="196">
        <v>0</v>
      </c>
      <c r="H31" s="196">
        <v>1426</v>
      </c>
      <c r="I31" s="196">
        <v>1000</v>
      </c>
      <c r="J31" s="197">
        <f t="shared" si="5"/>
        <v>-426</v>
      </c>
      <c r="K31" s="198">
        <f t="shared" si="6"/>
        <v>-0.29873772791023845</v>
      </c>
      <c r="L31" s="196"/>
      <c r="M31" s="196"/>
      <c r="N31" s="196"/>
      <c r="O31" s="196"/>
      <c r="P31" s="199"/>
    </row>
    <row r="32" spans="1:19" ht="31.5" customHeight="1" x14ac:dyDescent="0.2">
      <c r="A32" s="193" t="s">
        <v>276</v>
      </c>
      <c r="B32" s="319">
        <v>706605</v>
      </c>
      <c r="C32" s="194" t="s">
        <v>275</v>
      </c>
      <c r="D32" s="195"/>
      <c r="E32" s="196">
        <v>649.12</v>
      </c>
      <c r="F32" s="196">
        <v>650.88</v>
      </c>
      <c r="G32" s="196">
        <v>54.17</v>
      </c>
      <c r="H32" s="196"/>
      <c r="I32" s="196"/>
      <c r="J32" s="197">
        <f t="shared" si="5"/>
        <v>0</v>
      </c>
      <c r="K32" s="198" t="e">
        <f t="shared" si="6"/>
        <v>#DIV/0!</v>
      </c>
      <c r="L32" s="196"/>
      <c r="M32" s="196"/>
      <c r="N32" s="196"/>
      <c r="O32" s="196"/>
      <c r="P32" s="199"/>
    </row>
    <row r="33" spans="1:16" ht="31.5" customHeight="1" x14ac:dyDescent="0.2">
      <c r="A33" s="193" t="s">
        <v>258</v>
      </c>
      <c r="B33" s="318">
        <v>707101</v>
      </c>
      <c r="C33" s="194" t="s">
        <v>257</v>
      </c>
      <c r="D33" s="195"/>
      <c r="E33" s="196"/>
      <c r="F33" s="196"/>
      <c r="G33" s="196">
        <v>595.83000000000004</v>
      </c>
      <c r="H33" s="196">
        <v>54</v>
      </c>
      <c r="I33" s="196"/>
      <c r="J33" s="197">
        <f t="shared" si="5"/>
        <v>-54</v>
      </c>
      <c r="K33" s="198">
        <f t="shared" si="6"/>
        <v>-1</v>
      </c>
      <c r="L33" s="196"/>
      <c r="M33" s="196"/>
      <c r="N33" s="196"/>
      <c r="O33" s="196"/>
      <c r="P33" s="199"/>
    </row>
    <row r="34" spans="1:16" ht="31.5" customHeight="1" x14ac:dyDescent="0.2">
      <c r="A34" s="193" t="s">
        <v>230</v>
      </c>
      <c r="B34" s="318">
        <v>707151</v>
      </c>
      <c r="C34" s="194" t="s">
        <v>15</v>
      </c>
      <c r="D34" s="195"/>
      <c r="E34" s="196">
        <v>169.68</v>
      </c>
      <c r="F34" s="196">
        <v>177.42000000000002</v>
      </c>
      <c r="G34" s="196">
        <v>180</v>
      </c>
      <c r="H34" s="196">
        <f>15*12</f>
        <v>180</v>
      </c>
      <c r="I34" s="196">
        <v>180</v>
      </c>
      <c r="J34" s="197">
        <f t="shared" si="5"/>
        <v>0</v>
      </c>
      <c r="K34" s="198">
        <f t="shared" si="6"/>
        <v>0</v>
      </c>
      <c r="L34" s="196"/>
      <c r="M34" s="196"/>
      <c r="N34" s="196"/>
      <c r="O34" s="196"/>
      <c r="P34" s="199"/>
    </row>
    <row r="35" spans="1:16" ht="31.5" customHeight="1" x14ac:dyDescent="0.2">
      <c r="A35" s="193" t="s">
        <v>229</v>
      </c>
      <c r="B35" s="318">
        <v>707151</v>
      </c>
      <c r="C35" s="194" t="s">
        <v>16</v>
      </c>
      <c r="D35" s="195"/>
      <c r="E35" s="196">
        <v>2.41</v>
      </c>
      <c r="F35" s="196">
        <v>1.29</v>
      </c>
      <c r="G35" s="196">
        <v>0.11</v>
      </c>
      <c r="H35" s="196"/>
      <c r="I35" s="196"/>
      <c r="J35" s="197">
        <f t="shared" si="5"/>
        <v>0</v>
      </c>
      <c r="K35" s="198" t="e">
        <f t="shared" si="6"/>
        <v>#DIV/0!</v>
      </c>
      <c r="L35" s="196"/>
      <c r="M35" s="196"/>
      <c r="N35" s="196"/>
      <c r="O35" s="196"/>
      <c r="P35" s="199"/>
    </row>
    <row r="36" spans="1:16" ht="31.5" customHeight="1" x14ac:dyDescent="0.2">
      <c r="A36" s="193" t="s">
        <v>203</v>
      </c>
      <c r="B36" s="318">
        <v>707301</v>
      </c>
      <c r="C36" s="194" t="s">
        <v>18</v>
      </c>
      <c r="D36" s="195"/>
      <c r="E36" s="196">
        <v>30.59</v>
      </c>
      <c r="F36" s="196">
        <v>245.70000000000002</v>
      </c>
      <c r="G36" s="196">
        <v>247.61</v>
      </c>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31.5" customHeight="1" x14ac:dyDescent="0.2">
      <c r="A40" s="193"/>
      <c r="B40" s="193"/>
      <c r="C40" s="194"/>
      <c r="D40" s="195"/>
      <c r="E40" s="196"/>
      <c r="F40" s="196"/>
      <c r="G40" s="196"/>
      <c r="H40" s="196"/>
      <c r="I40" s="196"/>
      <c r="J40" s="197">
        <f t="shared" si="5"/>
        <v>0</v>
      </c>
      <c r="K40" s="198" t="e">
        <f t="shared" si="6"/>
        <v>#DIV/0!</v>
      </c>
      <c r="L40" s="196"/>
      <c r="M40" s="196"/>
      <c r="N40" s="196"/>
      <c r="O40" s="196"/>
      <c r="P40" s="199"/>
    </row>
    <row r="41" spans="1:16" ht="13.5" thickBot="1" x14ac:dyDescent="0.25">
      <c r="A41" s="200"/>
      <c r="B41" s="200"/>
      <c r="C41" s="177" t="s">
        <v>22</v>
      </c>
      <c r="D41" s="201"/>
      <c r="E41" s="180">
        <f>SUM(E21:E40)</f>
        <v>62460.160000000003</v>
      </c>
      <c r="F41" s="180">
        <f>SUM(F21:F40)</f>
        <v>49642.249999999993</v>
      </c>
      <c r="G41" s="180">
        <f>SUM(G21:G40)</f>
        <v>60720.29</v>
      </c>
      <c r="H41" s="180">
        <f>SUM(H21:H40)</f>
        <v>49205</v>
      </c>
      <c r="I41" s="180">
        <f>SUM(I21:I40)</f>
        <v>62067</v>
      </c>
      <c r="J41" s="180">
        <f t="shared" si="5"/>
        <v>12862</v>
      </c>
      <c r="K41" s="181">
        <f t="shared" si="6"/>
        <v>0.26139619957321408</v>
      </c>
      <c r="L41" s="180">
        <f>SUM(L21:L40)</f>
        <v>8000</v>
      </c>
      <c r="M41" s="180">
        <f>SUM(M21:M40)</f>
        <v>0</v>
      </c>
      <c r="N41" s="180">
        <f>SUM(N21:N40)</f>
        <v>0</v>
      </c>
      <c r="O41" s="180">
        <f>SUM(O21:O40)</f>
        <v>1862</v>
      </c>
      <c r="P41" s="202"/>
    </row>
    <row r="42" spans="1:16" ht="13.5" thickBot="1" x14ac:dyDescent="0.25">
      <c r="A42" s="203"/>
      <c r="B42" s="203"/>
      <c r="C42" s="204" t="s">
        <v>702</v>
      </c>
      <c r="D42" s="205"/>
      <c r="E42" s="206">
        <f>E18+E41</f>
        <v>74664.160000000003</v>
      </c>
      <c r="F42" s="206">
        <f>F18+F41</f>
        <v>63843.049999999988</v>
      </c>
      <c r="G42" s="206">
        <f>G18+G41</f>
        <v>68842.290000000008</v>
      </c>
      <c r="H42" s="206">
        <f>H18+H41</f>
        <v>49205</v>
      </c>
      <c r="I42" s="206">
        <f>I18+I41</f>
        <v>62067</v>
      </c>
      <c r="J42" s="206">
        <f>I42-H42</f>
        <v>12862</v>
      </c>
      <c r="K42" s="207">
        <f>(I42-H42)/H42</f>
        <v>0.26139619957321408</v>
      </c>
      <c r="L42" s="206">
        <f>L18+L41</f>
        <v>8000</v>
      </c>
      <c r="M42" s="206">
        <f>M18+M41</f>
        <v>0</v>
      </c>
      <c r="N42" s="206">
        <f>N18+N41</f>
        <v>0</v>
      </c>
      <c r="O42" s="206">
        <f>O18+O41</f>
        <v>1862</v>
      </c>
      <c r="P42" s="208"/>
    </row>
    <row r="43" spans="1:16" x14ac:dyDescent="0.2">
      <c r="A43" s="203"/>
      <c r="B43" s="203"/>
      <c r="C43" s="209" t="s">
        <v>698</v>
      </c>
      <c r="D43" s="210"/>
      <c r="E43" s="211"/>
      <c r="F43" s="211"/>
      <c r="G43" s="211"/>
      <c r="H43" s="212">
        <v>0</v>
      </c>
      <c r="I43" s="213"/>
      <c r="J43" s="213"/>
      <c r="K43" s="214"/>
      <c r="L43" s="213"/>
      <c r="M43" s="213"/>
      <c r="N43" s="213"/>
      <c r="O43" s="213"/>
      <c r="P43" s="215"/>
    </row>
    <row r="44" spans="1:16" x14ac:dyDescent="0.2">
      <c r="A44" s="203"/>
      <c r="B44" s="203"/>
      <c r="C44" s="183" t="s">
        <v>699</v>
      </c>
      <c r="D44" s="184"/>
      <c r="E44" s="216"/>
      <c r="F44" s="216"/>
      <c r="G44" s="216"/>
      <c r="H44" s="185">
        <f>35911</f>
        <v>35911</v>
      </c>
      <c r="I44" s="217"/>
      <c r="J44" s="217"/>
      <c r="K44" s="218"/>
      <c r="L44" s="217"/>
      <c r="M44" s="217"/>
      <c r="N44" s="217"/>
      <c r="O44" s="217"/>
      <c r="P44" s="219"/>
    </row>
    <row r="45" spans="1:16" x14ac:dyDescent="0.2">
      <c r="A45" s="203"/>
      <c r="B45" s="203"/>
      <c r="C45" s="183" t="s">
        <v>700</v>
      </c>
      <c r="D45" s="184"/>
      <c r="E45" s="216"/>
      <c r="F45" s="216"/>
      <c r="G45" s="216"/>
      <c r="H45" s="220">
        <f>H43-H10</f>
        <v>0</v>
      </c>
      <c r="I45" s="217"/>
      <c r="J45" s="217"/>
      <c r="K45" s="218"/>
      <c r="L45" s="217"/>
      <c r="M45" s="217"/>
      <c r="N45" s="217"/>
      <c r="O45" s="217"/>
      <c r="P45" s="219"/>
    </row>
    <row r="46" spans="1:16" x14ac:dyDescent="0.2">
      <c r="A46" s="221"/>
      <c r="B46" s="221"/>
      <c r="C46" s="183" t="s">
        <v>701</v>
      </c>
      <c r="D46" s="184"/>
      <c r="E46" s="217"/>
      <c r="F46" s="217"/>
      <c r="G46" s="217"/>
      <c r="H46" s="220">
        <f>H44-H42</f>
        <v>-13294</v>
      </c>
      <c r="I46" s="217"/>
      <c r="J46" s="217"/>
      <c r="K46" s="218"/>
      <c r="L46" s="217"/>
      <c r="M46" s="217"/>
      <c r="N46" s="217"/>
      <c r="O46" s="217"/>
      <c r="P46" s="219"/>
    </row>
    <row r="48" spans="1:16" s="157" customFormat="1" ht="27" customHeight="1" thickBot="1" x14ac:dyDescent="0.25">
      <c r="A48" s="158" t="s">
        <v>687</v>
      </c>
      <c r="B48" s="158" t="s">
        <v>687</v>
      </c>
      <c r="M48" s="406" t="s">
        <v>690</v>
      </c>
      <c r="N48" s="406"/>
      <c r="O48" s="406"/>
    </row>
    <row r="49" spans="1:15" s="157" customFormat="1" ht="51.75" thickBot="1" x14ac:dyDescent="0.25">
      <c r="A49" s="225"/>
      <c r="B49" s="225"/>
      <c r="C49" s="229" t="s">
        <v>633</v>
      </c>
      <c r="D49" s="249"/>
      <c r="E49" s="234" t="s">
        <v>749</v>
      </c>
      <c r="F49" s="234" t="s">
        <v>750</v>
      </c>
      <c r="G49" s="234" t="s">
        <v>751</v>
      </c>
      <c r="H49" s="294" t="s">
        <v>747</v>
      </c>
      <c r="I49" s="234" t="s">
        <v>748</v>
      </c>
      <c r="J49" s="234" t="s">
        <v>745</v>
      </c>
      <c r="K49" s="295" t="s">
        <v>641</v>
      </c>
      <c r="M49" s="145"/>
      <c r="N49" s="145" t="s">
        <v>693</v>
      </c>
      <c r="O49" s="145" t="s">
        <v>694</v>
      </c>
    </row>
    <row r="50" spans="1:15" s="157" customFormat="1" x14ac:dyDescent="0.2">
      <c r="A50" s="225"/>
      <c r="B50" s="225"/>
      <c r="C50" s="194" t="s">
        <v>970</v>
      </c>
      <c r="D50" s="336"/>
      <c r="E50" s="226"/>
      <c r="F50" s="226"/>
      <c r="G50" s="226"/>
      <c r="H50" s="226">
        <v>8500</v>
      </c>
      <c r="I50" s="226">
        <v>8500</v>
      </c>
      <c r="J50" s="227">
        <f>I50-H50</f>
        <v>0</v>
      </c>
      <c r="K50" s="228">
        <f>(I50-H50)/H50</f>
        <v>0</v>
      </c>
      <c r="M50" s="146" t="s">
        <v>691</v>
      </c>
      <c r="N50" s="146">
        <v>2</v>
      </c>
      <c r="O50" s="146">
        <v>0</v>
      </c>
    </row>
    <row r="51" spans="1:15" s="157" customFormat="1" x14ac:dyDescent="0.2">
      <c r="M51" s="146" t="s">
        <v>692</v>
      </c>
      <c r="N51" s="146"/>
      <c r="O51" s="146"/>
    </row>
    <row r="52" spans="1:15" s="157" customFormat="1" x14ac:dyDescent="0.2">
      <c r="M52" s="146" t="s">
        <v>23</v>
      </c>
      <c r="N52" s="146">
        <f>SUM(N50:N51)</f>
        <v>2</v>
      </c>
      <c r="O52" s="146">
        <f>SUM(O50:O51)</f>
        <v>0</v>
      </c>
    </row>
    <row r="53" spans="1:15" s="157" customFormat="1" x14ac:dyDescent="0.2"/>
    <row r="54" spans="1:15" s="157" customFormat="1" x14ac:dyDescent="0.2"/>
    <row r="55" spans="1:15" s="157" customFormat="1" x14ac:dyDescent="0.2"/>
  </sheetData>
  <mergeCells count="2">
    <mergeCell ref="L3:N3"/>
    <mergeCell ref="M48:O48"/>
  </mergeCells>
  <pageMargins left="0.25" right="0.25" top="0.67708333333333304" bottom="0.35416666666666702" header="0.3" footer="0.3"/>
  <pageSetup paperSize="17" scale="59" orientation="landscape" r:id="rId1"/>
  <headerFooter>
    <oddHeader>&amp;C&amp;"Calibri,Bold"&amp;A</oddHeader>
    <oddFooter>&amp;Rprinted:  &amp;D&amp;T</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102"/>
  <sheetViews>
    <sheetView showGridLines="0" topLeftCell="A43" zoomScaleNormal="100" workbookViewId="0">
      <selection activeCell="F57" sqref="F57"/>
    </sheetView>
  </sheetViews>
  <sheetFormatPr defaultColWidth="9.140625" defaultRowHeight="12.75" x14ac:dyDescent="0.2"/>
  <cols>
    <col min="1" max="1" width="14.85546875" style="1" customWidth="1"/>
    <col min="2" max="2" width="31.28515625" style="1" bestFit="1" customWidth="1"/>
    <col min="3" max="3" width="51.28515625" style="1" bestFit="1" customWidth="1"/>
    <col min="4" max="4" width="15.7109375" style="1" customWidth="1"/>
    <col min="5" max="5" width="20.140625" style="1" customWidth="1"/>
    <col min="6" max="6" width="18.7109375" style="1" customWidth="1"/>
    <col min="7" max="7" width="19.5703125" style="1" customWidth="1"/>
    <col min="8" max="8" width="21.140625" style="1" customWidth="1"/>
    <col min="9" max="16384" width="9.140625" style="1"/>
  </cols>
  <sheetData>
    <row r="1" spans="1:9" ht="18.75" x14ac:dyDescent="0.3">
      <c r="A1" s="411" t="s">
        <v>716</v>
      </c>
      <c r="B1" s="411"/>
      <c r="C1" s="411"/>
      <c r="D1" s="411"/>
      <c r="E1" s="411"/>
      <c r="F1" s="411"/>
      <c r="G1" s="411"/>
      <c r="H1" s="411"/>
    </row>
    <row r="2" spans="1:9" ht="40.5" customHeight="1" x14ac:dyDescent="0.25">
      <c r="A2" s="412" t="s">
        <v>717</v>
      </c>
      <c r="B2" s="412"/>
      <c r="C2" s="412"/>
      <c r="D2" s="412"/>
      <c r="E2" s="412"/>
      <c r="F2" s="412"/>
      <c r="G2" s="412"/>
      <c r="H2" s="412"/>
    </row>
    <row r="3" spans="1:9" ht="23.25" customHeight="1" x14ac:dyDescent="0.2"/>
    <row r="4" spans="1:9" ht="16.5" thickBot="1" x14ac:dyDescent="0.3">
      <c r="A4" s="165" t="s">
        <v>959</v>
      </c>
      <c r="B4" s="321" t="s">
        <v>721</v>
      </c>
      <c r="C4" s="322"/>
    </row>
    <row r="5" spans="1:9" ht="13.9" customHeight="1" x14ac:dyDescent="0.2">
      <c r="A5" s="407" t="s">
        <v>634</v>
      </c>
      <c r="B5" s="257"/>
      <c r="C5" s="409" t="s">
        <v>705</v>
      </c>
      <c r="D5" s="409" t="s">
        <v>706</v>
      </c>
      <c r="E5" s="257" t="s">
        <v>715</v>
      </c>
      <c r="F5" s="257" t="s">
        <v>712</v>
      </c>
      <c r="G5" s="257" t="s">
        <v>713</v>
      </c>
      <c r="H5" s="255" t="s">
        <v>714</v>
      </c>
    </row>
    <row r="6" spans="1:9" ht="13.5" thickBot="1" x14ac:dyDescent="0.25">
      <c r="A6" s="408"/>
      <c r="B6" s="259" t="s">
        <v>799</v>
      </c>
      <c r="C6" s="410"/>
      <c r="D6" s="410"/>
      <c r="E6" s="258" t="s">
        <v>707</v>
      </c>
      <c r="F6" s="259" t="s">
        <v>710</v>
      </c>
      <c r="G6" s="259" t="s">
        <v>708</v>
      </c>
      <c r="H6" s="256" t="s">
        <v>711</v>
      </c>
      <c r="I6" s="2"/>
    </row>
    <row r="7" spans="1:9" ht="18" customHeight="1" x14ac:dyDescent="0.2">
      <c r="A7" s="250"/>
      <c r="B7" s="254" t="s">
        <v>824</v>
      </c>
      <c r="C7" s="251" t="s">
        <v>888</v>
      </c>
      <c r="D7" s="252" t="s">
        <v>920</v>
      </c>
      <c r="E7" s="253">
        <v>69794.826000000001</v>
      </c>
      <c r="F7" s="253">
        <v>69795.054000000004</v>
      </c>
      <c r="G7" s="254"/>
      <c r="H7" s="254"/>
      <c r="I7" s="2"/>
    </row>
    <row r="8" spans="1:9" ht="18" customHeight="1" x14ac:dyDescent="0.2">
      <c r="A8" s="82"/>
      <c r="B8" s="95" t="s">
        <v>824</v>
      </c>
      <c r="C8" s="80" t="s">
        <v>889</v>
      </c>
      <c r="D8" s="93" t="s">
        <v>921</v>
      </c>
      <c r="E8" s="94">
        <v>153408.95600000006</v>
      </c>
      <c r="F8" s="94">
        <v>153409.014</v>
      </c>
      <c r="G8" s="95"/>
      <c r="H8" s="254"/>
      <c r="I8" s="2"/>
    </row>
    <row r="9" spans="1:9" ht="18" customHeight="1" x14ac:dyDescent="0.2">
      <c r="A9" s="82"/>
      <c r="B9" s="95" t="s">
        <v>824</v>
      </c>
      <c r="C9" s="80" t="s">
        <v>890</v>
      </c>
      <c r="D9" s="93" t="s">
        <v>922</v>
      </c>
      <c r="E9" s="94">
        <v>59502.557000000015</v>
      </c>
      <c r="F9" s="94">
        <v>59502.780000000006</v>
      </c>
      <c r="G9" s="95"/>
      <c r="H9" s="254"/>
      <c r="I9" s="2"/>
    </row>
    <row r="10" spans="1:9" ht="18" customHeight="1" x14ac:dyDescent="0.2">
      <c r="A10" s="82"/>
      <c r="B10" s="95" t="s">
        <v>824</v>
      </c>
      <c r="C10" s="80" t="s">
        <v>891</v>
      </c>
      <c r="D10" s="93" t="s">
        <v>923</v>
      </c>
      <c r="E10" s="94">
        <v>118012.98200000002</v>
      </c>
      <c r="F10" s="94">
        <v>118013.238</v>
      </c>
      <c r="G10" s="95"/>
      <c r="H10" s="254"/>
      <c r="I10" s="2"/>
    </row>
    <row r="11" spans="1:9" ht="18" customHeight="1" thickBot="1" x14ac:dyDescent="0.25">
      <c r="A11" s="82"/>
      <c r="B11" s="95" t="s">
        <v>824</v>
      </c>
      <c r="C11" s="80" t="s">
        <v>892</v>
      </c>
      <c r="D11" s="93" t="s">
        <v>924</v>
      </c>
      <c r="E11" s="367">
        <v>59185</v>
      </c>
      <c r="F11" s="94">
        <v>59184.881999999998</v>
      </c>
      <c r="G11" s="95"/>
      <c r="H11" s="254"/>
      <c r="I11" s="2"/>
    </row>
    <row r="12" spans="1:9" ht="18" customHeight="1" x14ac:dyDescent="0.2">
      <c r="A12" s="82"/>
      <c r="B12" s="95"/>
      <c r="C12" s="80"/>
      <c r="D12" s="93"/>
      <c r="E12" s="368">
        <f>SUM(E7:E11)</f>
        <v>459904.32100000011</v>
      </c>
      <c r="F12" s="94"/>
      <c r="G12" s="95"/>
      <c r="H12" s="254"/>
      <c r="I12" s="2"/>
    </row>
    <row r="13" spans="1:9" ht="18" customHeight="1" x14ac:dyDescent="0.2">
      <c r="A13" s="82"/>
      <c r="B13" s="95"/>
      <c r="C13" s="80"/>
      <c r="D13" s="93"/>
      <c r="E13" s="368"/>
      <c r="F13" s="94"/>
      <c r="G13" s="95"/>
      <c r="H13" s="254"/>
      <c r="I13" s="2"/>
    </row>
    <row r="14" spans="1:9" ht="18" customHeight="1" x14ac:dyDescent="0.2">
      <c r="A14" s="82"/>
      <c r="B14" s="95" t="s">
        <v>826</v>
      </c>
      <c r="C14" s="80" t="s">
        <v>879</v>
      </c>
      <c r="D14" s="93" t="s">
        <v>880</v>
      </c>
      <c r="E14" s="94">
        <v>48251.026999999995</v>
      </c>
      <c r="F14" s="94">
        <v>48251.070000000007</v>
      </c>
      <c r="G14" s="95"/>
      <c r="H14" s="254"/>
      <c r="I14" s="2"/>
    </row>
    <row r="15" spans="1:9" ht="18" customHeight="1" x14ac:dyDescent="0.2">
      <c r="A15" s="82"/>
      <c r="B15" s="95" t="s">
        <v>826</v>
      </c>
      <c r="C15" s="80" t="s">
        <v>883</v>
      </c>
      <c r="D15" s="93" t="s">
        <v>886</v>
      </c>
      <c r="E15" s="94">
        <v>62858.343000000008</v>
      </c>
      <c r="F15" s="94">
        <v>52250</v>
      </c>
      <c r="G15" s="95"/>
      <c r="H15" s="254">
        <f t="shared" ref="H15" si="0">E15-F15</f>
        <v>10608.343000000008</v>
      </c>
      <c r="I15" s="2"/>
    </row>
    <row r="16" spans="1:9" ht="18" customHeight="1" thickBot="1" x14ac:dyDescent="0.25">
      <c r="A16" s="82"/>
      <c r="B16" s="95" t="s">
        <v>826</v>
      </c>
      <c r="C16" s="80" t="s">
        <v>882</v>
      </c>
      <c r="D16" s="93" t="s">
        <v>885</v>
      </c>
      <c r="E16" s="372">
        <v>59424.918000000012</v>
      </c>
      <c r="F16" s="94"/>
      <c r="G16" s="95">
        <v>59424.918000000012</v>
      </c>
      <c r="H16" s="95"/>
      <c r="I16" s="2"/>
    </row>
    <row r="17" spans="1:9" ht="18" customHeight="1" x14ac:dyDescent="0.2">
      <c r="A17" s="82"/>
      <c r="B17" s="95"/>
      <c r="C17" s="80"/>
      <c r="D17" s="93"/>
      <c r="E17" s="368">
        <f>SUM(E14:E16)</f>
        <v>170534.288</v>
      </c>
      <c r="F17" s="94"/>
      <c r="G17" s="95"/>
      <c r="H17" s="254"/>
      <c r="I17" s="2"/>
    </row>
    <row r="18" spans="1:9" ht="18" customHeight="1" x14ac:dyDescent="0.2">
      <c r="A18" s="82"/>
      <c r="B18" s="95"/>
      <c r="C18" s="80"/>
      <c r="D18" s="93"/>
      <c r="E18" s="368"/>
      <c r="F18" s="94"/>
      <c r="G18" s="95"/>
      <c r="H18" s="254"/>
      <c r="I18" s="2"/>
    </row>
    <row r="19" spans="1:9" ht="18" customHeight="1" x14ac:dyDescent="0.2">
      <c r="A19" s="82"/>
      <c r="B19" s="95" t="s">
        <v>828</v>
      </c>
      <c r="C19" s="80" t="s">
        <v>893</v>
      </c>
      <c r="D19" s="93" t="s">
        <v>925</v>
      </c>
      <c r="E19" s="94">
        <v>96509.829264000029</v>
      </c>
      <c r="F19" s="94">
        <v>96509.631744000013</v>
      </c>
      <c r="G19" s="95"/>
      <c r="H19" s="254"/>
      <c r="I19" s="2"/>
    </row>
    <row r="20" spans="1:9" ht="18" customHeight="1" x14ac:dyDescent="0.2">
      <c r="A20" s="82"/>
      <c r="B20" s="95" t="s">
        <v>881</v>
      </c>
      <c r="C20" s="80" t="s">
        <v>918</v>
      </c>
      <c r="D20" s="93"/>
      <c r="E20" s="253">
        <v>43067</v>
      </c>
      <c r="F20" s="94">
        <v>43067</v>
      </c>
      <c r="G20" s="95"/>
      <c r="H20" s="254"/>
      <c r="I20" s="2"/>
    </row>
    <row r="21" spans="1:9" ht="18" customHeight="1" thickBot="1" x14ac:dyDescent="0.25">
      <c r="A21" s="82"/>
      <c r="B21" s="95" t="s">
        <v>881</v>
      </c>
      <c r="C21" s="80" t="s">
        <v>919</v>
      </c>
      <c r="D21" s="93"/>
      <c r="E21" s="367">
        <v>53073.5</v>
      </c>
      <c r="F21" s="94">
        <v>53073.5</v>
      </c>
      <c r="G21" s="95"/>
      <c r="H21" s="254"/>
      <c r="I21" s="2"/>
    </row>
    <row r="22" spans="1:9" ht="18" customHeight="1" x14ac:dyDescent="0.2">
      <c r="A22" s="82"/>
      <c r="B22" s="95"/>
      <c r="C22" s="80"/>
      <c r="D22" s="93"/>
      <c r="E22" s="368">
        <f>SUM(E19:E21)</f>
        <v>192650.32926400003</v>
      </c>
      <c r="F22" s="94"/>
      <c r="G22" s="95"/>
      <c r="H22" s="254"/>
      <c r="I22" s="2"/>
    </row>
    <row r="23" spans="1:9" ht="18" customHeight="1" x14ac:dyDescent="0.2">
      <c r="A23" s="82"/>
      <c r="B23" s="95"/>
      <c r="C23" s="80"/>
      <c r="D23" s="93"/>
      <c r="E23" s="369"/>
      <c r="F23" s="94"/>
      <c r="G23" s="95"/>
      <c r="H23" s="254"/>
      <c r="I23" s="2"/>
    </row>
    <row r="24" spans="1:9" ht="18" customHeight="1" x14ac:dyDescent="0.2">
      <c r="A24" s="82"/>
      <c r="B24" s="95" t="s">
        <v>830</v>
      </c>
      <c r="C24" s="80" t="s">
        <v>894</v>
      </c>
      <c r="D24" s="93" t="s">
        <v>926</v>
      </c>
      <c r="E24" s="94">
        <v>87944.032000000007</v>
      </c>
      <c r="F24" s="94">
        <v>87944.21100000001</v>
      </c>
      <c r="G24" s="95"/>
      <c r="H24" s="254"/>
      <c r="I24" s="2"/>
    </row>
    <row r="25" spans="1:9" ht="18" customHeight="1" thickBot="1" x14ac:dyDescent="0.25">
      <c r="A25" s="82"/>
      <c r="B25" s="95" t="s">
        <v>830</v>
      </c>
      <c r="C25" s="80" t="s">
        <v>895</v>
      </c>
      <c r="D25" s="93" t="s">
        <v>927</v>
      </c>
      <c r="E25" s="367">
        <v>45671</v>
      </c>
      <c r="F25" s="94">
        <v>45671.084999999999</v>
      </c>
      <c r="G25" s="95"/>
      <c r="H25" s="254"/>
      <c r="I25" s="2"/>
    </row>
    <row r="26" spans="1:9" ht="18" customHeight="1" x14ac:dyDescent="0.2">
      <c r="A26" s="82"/>
      <c r="B26" s="95"/>
      <c r="C26" s="80"/>
      <c r="D26" s="93"/>
      <c r="E26" s="368">
        <f>SUM(E24:E25)</f>
        <v>133615.03200000001</v>
      </c>
      <c r="F26" s="94"/>
      <c r="G26" s="95"/>
      <c r="H26" s="254"/>
      <c r="I26" s="2"/>
    </row>
    <row r="27" spans="1:9" ht="18" customHeight="1" x14ac:dyDescent="0.2">
      <c r="A27" s="82"/>
      <c r="B27" s="95"/>
      <c r="C27" s="80"/>
      <c r="D27" s="93"/>
      <c r="E27" s="369"/>
      <c r="F27" s="94"/>
      <c r="G27" s="95"/>
      <c r="H27" s="254"/>
      <c r="I27" s="2"/>
    </row>
    <row r="28" spans="1:9" ht="18" customHeight="1" thickBot="1" x14ac:dyDescent="0.25">
      <c r="A28" s="82"/>
      <c r="B28" s="95" t="s">
        <v>836</v>
      </c>
      <c r="C28" s="80" t="s">
        <v>896</v>
      </c>
      <c r="D28" s="93" t="s">
        <v>928</v>
      </c>
      <c r="E28" s="367">
        <v>108352</v>
      </c>
      <c r="F28" s="94">
        <v>108351.80100000001</v>
      </c>
      <c r="G28" s="95"/>
      <c r="H28" s="254"/>
      <c r="I28" s="2"/>
    </row>
    <row r="29" spans="1:9" ht="18" customHeight="1" x14ac:dyDescent="0.2">
      <c r="A29" s="82"/>
      <c r="B29" s="95"/>
      <c r="C29" s="80"/>
      <c r="D29" s="93"/>
      <c r="E29" s="368">
        <f>SUM(E28)</f>
        <v>108352</v>
      </c>
      <c r="F29" s="94"/>
      <c r="G29" s="95"/>
      <c r="H29" s="254"/>
      <c r="I29" s="2"/>
    </row>
    <row r="30" spans="1:9" ht="18" customHeight="1" x14ac:dyDescent="0.2">
      <c r="A30" s="82"/>
      <c r="B30" s="95"/>
      <c r="C30" s="80"/>
      <c r="D30" s="93"/>
      <c r="E30" s="368"/>
      <c r="F30" s="94"/>
      <c r="G30" s="95"/>
      <c r="H30" s="254"/>
      <c r="I30" s="2"/>
    </row>
    <row r="31" spans="1:9" ht="18" customHeight="1" x14ac:dyDescent="0.2">
      <c r="A31" s="82"/>
      <c r="B31" s="95" t="s">
        <v>839</v>
      </c>
      <c r="C31" s="80" t="s">
        <v>897</v>
      </c>
      <c r="D31" s="93" t="s">
        <v>929</v>
      </c>
      <c r="E31" s="94">
        <v>98982.395999999993</v>
      </c>
      <c r="F31" s="94">
        <v>98982.162000000011</v>
      </c>
      <c r="G31" s="95"/>
      <c r="H31" s="254"/>
      <c r="I31" s="2"/>
    </row>
    <row r="32" spans="1:9" ht="18" customHeight="1" thickBot="1" x14ac:dyDescent="0.25">
      <c r="A32" s="82"/>
      <c r="B32" s="95" t="s">
        <v>839</v>
      </c>
      <c r="C32" s="80" t="s">
        <v>898</v>
      </c>
      <c r="D32" s="93" t="s">
        <v>930</v>
      </c>
      <c r="E32" s="367">
        <v>82595.032000000021</v>
      </c>
      <c r="F32" s="94">
        <v>82595.277000000002</v>
      </c>
      <c r="G32" s="95"/>
      <c r="H32" s="254"/>
      <c r="I32" s="2"/>
    </row>
    <row r="33" spans="1:9" ht="18" customHeight="1" x14ac:dyDescent="0.2">
      <c r="A33" s="82"/>
      <c r="B33" s="95"/>
      <c r="C33" s="80"/>
      <c r="D33" s="93"/>
      <c r="E33" s="368">
        <f>SUM(E31:E32)</f>
        <v>181577.42800000001</v>
      </c>
      <c r="F33" s="94"/>
      <c r="G33" s="95"/>
      <c r="H33" s="254"/>
      <c r="I33" s="2"/>
    </row>
    <row r="34" spans="1:9" ht="18" customHeight="1" x14ac:dyDescent="0.2">
      <c r="A34" s="82"/>
      <c r="B34" s="95"/>
      <c r="C34" s="80"/>
      <c r="D34" s="93"/>
      <c r="E34" s="368"/>
      <c r="F34" s="94"/>
      <c r="G34" s="95"/>
      <c r="H34" s="254"/>
      <c r="I34" s="2"/>
    </row>
    <row r="35" spans="1:9" ht="18" customHeight="1" thickBot="1" x14ac:dyDescent="0.25">
      <c r="A35" s="82"/>
      <c r="B35" s="95" t="s">
        <v>841</v>
      </c>
      <c r="C35" s="80" t="s">
        <v>899</v>
      </c>
      <c r="D35" s="93" t="s">
        <v>931</v>
      </c>
      <c r="E35" s="367">
        <v>105941.16799999999</v>
      </c>
      <c r="F35" s="94">
        <v>105940.944</v>
      </c>
      <c r="G35" s="95"/>
      <c r="H35" s="254"/>
      <c r="I35" s="2"/>
    </row>
    <row r="36" spans="1:9" ht="18" customHeight="1" x14ac:dyDescent="0.2">
      <c r="A36" s="82"/>
      <c r="B36" s="95"/>
      <c r="C36" s="80"/>
      <c r="D36" s="93"/>
      <c r="E36" s="368">
        <f>SUM(E35)</f>
        <v>105941.16799999999</v>
      </c>
      <c r="F36" s="94"/>
      <c r="G36" s="95"/>
      <c r="H36" s="254"/>
      <c r="I36" s="2"/>
    </row>
    <row r="37" spans="1:9" ht="18" customHeight="1" x14ac:dyDescent="0.2">
      <c r="A37" s="82"/>
      <c r="B37" s="95"/>
      <c r="C37" s="80"/>
      <c r="D37" s="93"/>
      <c r="E37" s="368"/>
      <c r="F37" s="94"/>
      <c r="G37" s="95"/>
      <c r="H37" s="254"/>
      <c r="I37" s="2"/>
    </row>
    <row r="38" spans="1:9" ht="18" customHeight="1" x14ac:dyDescent="0.2">
      <c r="A38" s="82"/>
      <c r="B38" s="95" t="s">
        <v>845</v>
      </c>
      <c r="C38" s="80" t="s">
        <v>900</v>
      </c>
      <c r="D38" s="93" t="s">
        <v>932</v>
      </c>
      <c r="E38" s="94">
        <v>63178</v>
      </c>
      <c r="F38" s="94">
        <v>63177.66</v>
      </c>
      <c r="G38" s="95"/>
      <c r="H38" s="254"/>
      <c r="I38" s="2"/>
    </row>
    <row r="39" spans="1:9" ht="18" customHeight="1" thickBot="1" x14ac:dyDescent="0.25">
      <c r="A39" s="82"/>
      <c r="B39" s="95" t="s">
        <v>845</v>
      </c>
      <c r="C39" s="80" t="s">
        <v>901</v>
      </c>
      <c r="D39" s="93" t="s">
        <v>933</v>
      </c>
      <c r="E39" s="367">
        <v>123168.43831344135</v>
      </c>
      <c r="F39" s="94">
        <v>123167.95668000002</v>
      </c>
      <c r="G39" s="95"/>
      <c r="H39" s="254"/>
      <c r="I39" s="2"/>
    </row>
    <row r="40" spans="1:9" ht="18" customHeight="1" x14ac:dyDescent="0.2">
      <c r="A40" s="82"/>
      <c r="B40" s="95"/>
      <c r="C40" s="80"/>
      <c r="D40" s="93"/>
      <c r="E40" s="368">
        <f>SUM(E38:E39)</f>
        <v>186346.43831344135</v>
      </c>
      <c r="F40" s="94"/>
      <c r="G40" s="95"/>
      <c r="H40" s="254"/>
      <c r="I40" s="2"/>
    </row>
    <row r="41" spans="1:9" ht="18" customHeight="1" x14ac:dyDescent="0.2">
      <c r="A41" s="82"/>
      <c r="B41" s="95"/>
      <c r="C41" s="80"/>
      <c r="D41" s="93"/>
      <c r="E41" s="368"/>
      <c r="F41" s="94"/>
      <c r="G41" s="95"/>
      <c r="H41" s="254"/>
      <c r="I41" s="2"/>
    </row>
    <row r="42" spans="1:9" ht="18" customHeight="1" x14ac:dyDescent="0.2">
      <c r="A42" s="82"/>
      <c r="B42" s="95" t="s">
        <v>846</v>
      </c>
      <c r="C42" s="80" t="s">
        <v>884</v>
      </c>
      <c r="D42" s="93" t="s">
        <v>934</v>
      </c>
      <c r="E42" s="94">
        <v>50542</v>
      </c>
      <c r="F42" s="94">
        <v>50542.389000000003</v>
      </c>
      <c r="G42" s="95"/>
      <c r="H42" s="254"/>
      <c r="I42" s="2"/>
    </row>
    <row r="43" spans="1:9" ht="18" customHeight="1" x14ac:dyDescent="0.2">
      <c r="A43" s="82"/>
      <c r="B43" s="95" t="s">
        <v>846</v>
      </c>
      <c r="C43" s="80" t="s">
        <v>902</v>
      </c>
      <c r="D43" s="93" t="s">
        <v>935</v>
      </c>
      <c r="E43" s="94">
        <v>140758</v>
      </c>
      <c r="F43" s="94">
        <v>140758.31268</v>
      </c>
      <c r="G43" s="95"/>
      <c r="H43" s="254"/>
      <c r="I43" s="2"/>
    </row>
    <row r="44" spans="1:9" ht="18" customHeight="1" x14ac:dyDescent="0.2">
      <c r="A44" s="82"/>
      <c r="B44" s="95" t="s">
        <v>846</v>
      </c>
      <c r="C44" s="80" t="s">
        <v>903</v>
      </c>
      <c r="D44" s="93" t="s">
        <v>936</v>
      </c>
      <c r="E44" s="94">
        <v>63178.07</v>
      </c>
      <c r="F44" s="94">
        <v>63177.66</v>
      </c>
      <c r="G44" s="95"/>
      <c r="H44" s="254"/>
      <c r="I44" s="2"/>
    </row>
    <row r="45" spans="1:9" ht="18" customHeight="1" thickBot="1" x14ac:dyDescent="0.25">
      <c r="A45" s="82"/>
      <c r="B45" s="95" t="s">
        <v>846</v>
      </c>
      <c r="C45" s="80" t="s">
        <v>884</v>
      </c>
      <c r="D45" s="93" t="s">
        <v>937</v>
      </c>
      <c r="E45" s="367">
        <v>71602</v>
      </c>
      <c r="F45" s="94">
        <v>71601.696000000011</v>
      </c>
      <c r="G45" s="95"/>
      <c r="H45" s="254"/>
      <c r="I45" s="2"/>
    </row>
    <row r="46" spans="1:9" ht="18" customHeight="1" x14ac:dyDescent="0.2">
      <c r="A46" s="82"/>
      <c r="B46" s="95"/>
      <c r="C46" s="80"/>
      <c r="D46" s="93"/>
      <c r="E46" s="368">
        <f>SUM(E42:E45)</f>
        <v>326080.07</v>
      </c>
      <c r="F46" s="94"/>
      <c r="G46" s="95"/>
      <c r="H46" s="254"/>
      <c r="I46" s="2"/>
    </row>
    <row r="47" spans="1:9" ht="18" customHeight="1" x14ac:dyDescent="0.2">
      <c r="A47" s="82"/>
      <c r="B47" s="95"/>
      <c r="C47" s="80"/>
      <c r="D47" s="93"/>
      <c r="E47" s="368"/>
      <c r="F47" s="94"/>
      <c r="G47" s="95"/>
      <c r="H47" s="254"/>
      <c r="I47" s="2"/>
    </row>
    <row r="48" spans="1:9" ht="18" customHeight="1" x14ac:dyDescent="0.2">
      <c r="A48" s="82"/>
      <c r="B48" s="95" t="s">
        <v>848</v>
      </c>
      <c r="C48" s="80" t="s">
        <v>904</v>
      </c>
      <c r="D48" s="93" t="s">
        <v>938</v>
      </c>
      <c r="E48" s="375">
        <f>SUM((105296*0.16))</f>
        <v>16847.36</v>
      </c>
      <c r="F48" s="94">
        <v>105296.274</v>
      </c>
      <c r="G48" s="95"/>
      <c r="H48" s="254"/>
      <c r="I48" s="2"/>
    </row>
    <row r="49" spans="1:9" ht="18" customHeight="1" thickBot="1" x14ac:dyDescent="0.25">
      <c r="A49" s="82"/>
      <c r="B49" s="95" t="s">
        <v>848</v>
      </c>
      <c r="C49" s="80" t="s">
        <v>905</v>
      </c>
      <c r="D49" s="93" t="s">
        <v>939</v>
      </c>
      <c r="E49" s="377">
        <f>SUM(58046*0.16)</f>
        <v>9287.36</v>
      </c>
      <c r="F49" s="94">
        <v>50542.389000000003</v>
      </c>
      <c r="G49" s="95"/>
      <c r="H49" s="254">
        <f>E49-F49</f>
        <v>-41255.029000000002</v>
      </c>
      <c r="I49" s="2"/>
    </row>
    <row r="50" spans="1:9" ht="18" customHeight="1" x14ac:dyDescent="0.2">
      <c r="A50" s="82"/>
      <c r="B50" s="95"/>
      <c r="C50" s="80"/>
      <c r="D50" s="93"/>
      <c r="E50" s="378">
        <f>SUM(E48:E49)</f>
        <v>26134.720000000001</v>
      </c>
      <c r="F50" s="94"/>
      <c r="G50" s="95"/>
      <c r="H50" s="254"/>
      <c r="I50" s="2"/>
    </row>
    <row r="51" spans="1:9" ht="18" customHeight="1" x14ac:dyDescent="0.2">
      <c r="A51" s="82"/>
      <c r="B51" s="95"/>
      <c r="C51" s="80"/>
      <c r="D51" s="93"/>
      <c r="E51" s="376"/>
      <c r="F51" s="94"/>
      <c r="G51" s="95"/>
      <c r="H51" s="254"/>
      <c r="I51" s="2"/>
    </row>
    <row r="52" spans="1:9" ht="18" customHeight="1" x14ac:dyDescent="0.2">
      <c r="A52" s="82"/>
      <c r="B52" s="95" t="s">
        <v>856</v>
      </c>
      <c r="C52" s="80" t="s">
        <v>904</v>
      </c>
      <c r="D52" s="93" t="s">
        <v>938</v>
      </c>
      <c r="E52" s="375">
        <f>SUM((105296*0.34))</f>
        <v>35800.639999999999</v>
      </c>
      <c r="F52" s="94"/>
      <c r="G52" s="95"/>
      <c r="H52" s="254"/>
      <c r="I52" s="2"/>
    </row>
    <row r="53" spans="1:9" ht="18" customHeight="1" thickBot="1" x14ac:dyDescent="0.25">
      <c r="A53" s="82"/>
      <c r="B53" s="95" t="s">
        <v>856</v>
      </c>
      <c r="C53" s="80" t="s">
        <v>905</v>
      </c>
      <c r="D53" s="93" t="s">
        <v>939</v>
      </c>
      <c r="E53" s="377">
        <f>SUM(58046*0.34)</f>
        <v>19735.640000000003</v>
      </c>
      <c r="F53" s="94"/>
      <c r="G53" s="95"/>
      <c r="H53" s="254"/>
      <c r="I53" s="2"/>
    </row>
    <row r="54" spans="1:9" ht="18" customHeight="1" x14ac:dyDescent="0.2">
      <c r="A54" s="82"/>
      <c r="B54" s="95"/>
      <c r="C54" s="80"/>
      <c r="D54" s="93"/>
      <c r="E54" s="378">
        <f>SUM(E52:E53)</f>
        <v>55536.28</v>
      </c>
      <c r="F54" s="94"/>
      <c r="G54" s="95"/>
      <c r="H54" s="254"/>
      <c r="I54" s="2"/>
    </row>
    <row r="55" spans="1:9" ht="18" customHeight="1" x14ac:dyDescent="0.2">
      <c r="A55" s="82"/>
      <c r="B55" s="95"/>
      <c r="C55" s="80"/>
      <c r="D55" s="93"/>
      <c r="E55" s="375"/>
      <c r="F55" s="94"/>
      <c r="G55" s="95"/>
      <c r="H55" s="254"/>
      <c r="I55" s="2"/>
    </row>
    <row r="56" spans="1:9" ht="18" customHeight="1" x14ac:dyDescent="0.2">
      <c r="A56" s="82"/>
      <c r="B56" s="95" t="s">
        <v>860</v>
      </c>
      <c r="C56" s="80" t="s">
        <v>904</v>
      </c>
      <c r="D56" s="93" t="s">
        <v>938</v>
      </c>
      <c r="E56" s="375">
        <f>SUM((105296*0.16))</f>
        <v>16847.36</v>
      </c>
      <c r="F56" s="94"/>
      <c r="G56" s="95"/>
      <c r="H56" s="254"/>
      <c r="I56" s="2"/>
    </row>
    <row r="57" spans="1:9" ht="18" customHeight="1" thickBot="1" x14ac:dyDescent="0.25">
      <c r="A57" s="82"/>
      <c r="B57" s="95" t="s">
        <v>860</v>
      </c>
      <c r="C57" s="80" t="s">
        <v>905</v>
      </c>
      <c r="D57" s="93" t="s">
        <v>939</v>
      </c>
      <c r="E57" s="377">
        <f>SUM(58046*0.16)</f>
        <v>9287.36</v>
      </c>
      <c r="F57" s="94"/>
      <c r="G57" s="95"/>
      <c r="H57" s="254"/>
      <c r="I57" s="2"/>
    </row>
    <row r="58" spans="1:9" ht="18" customHeight="1" x14ac:dyDescent="0.2">
      <c r="A58" s="82"/>
      <c r="B58" s="95"/>
      <c r="C58" s="80"/>
      <c r="D58" s="93"/>
      <c r="E58" s="379">
        <f>SUM(E56:E57)</f>
        <v>26134.720000000001</v>
      </c>
      <c r="F58" s="94"/>
      <c r="G58" s="95"/>
      <c r="H58" s="254"/>
      <c r="I58" s="2"/>
    </row>
    <row r="59" spans="1:9" ht="18" customHeight="1" x14ac:dyDescent="0.2">
      <c r="A59" s="82"/>
      <c r="B59" s="95"/>
      <c r="C59" s="80"/>
      <c r="D59" s="93"/>
      <c r="E59" s="380"/>
      <c r="F59" s="94"/>
      <c r="G59" s="95"/>
      <c r="H59" s="254"/>
      <c r="I59" s="2"/>
    </row>
    <row r="60" spans="1:9" ht="18" customHeight="1" x14ac:dyDescent="0.2">
      <c r="A60" s="82"/>
      <c r="B60" s="95" t="s">
        <v>874</v>
      </c>
      <c r="C60" s="80" t="s">
        <v>904</v>
      </c>
      <c r="D60" s="93" t="s">
        <v>938</v>
      </c>
      <c r="E60" s="375">
        <f>SUM((105296*0.34))</f>
        <v>35800.639999999999</v>
      </c>
      <c r="F60" s="94"/>
      <c r="G60" s="95"/>
      <c r="H60" s="254"/>
      <c r="I60" s="2"/>
    </row>
    <row r="61" spans="1:9" ht="18" customHeight="1" thickBot="1" x14ac:dyDescent="0.25">
      <c r="A61" s="82"/>
      <c r="B61" s="95" t="s">
        <v>874</v>
      </c>
      <c r="C61" s="80" t="s">
        <v>905</v>
      </c>
      <c r="D61" s="93" t="s">
        <v>939</v>
      </c>
      <c r="E61" s="381">
        <f>SUM(58046*0.34)</f>
        <v>19735.640000000003</v>
      </c>
      <c r="F61" s="94"/>
      <c r="G61" s="95"/>
      <c r="H61" s="254"/>
      <c r="I61" s="2"/>
    </row>
    <row r="62" spans="1:9" ht="18" customHeight="1" x14ac:dyDescent="0.2">
      <c r="A62" s="82"/>
      <c r="B62" s="95"/>
      <c r="C62" s="80"/>
      <c r="D62" s="93"/>
      <c r="E62" s="368">
        <f>SUM(E60:E61)</f>
        <v>55536.28</v>
      </c>
      <c r="F62" s="94"/>
      <c r="G62" s="95"/>
      <c r="H62" s="254"/>
      <c r="I62" s="2"/>
    </row>
    <row r="63" spans="1:9" ht="18" customHeight="1" x14ac:dyDescent="0.2">
      <c r="A63" s="82"/>
      <c r="B63" s="95"/>
      <c r="C63" s="80"/>
      <c r="D63" s="93"/>
      <c r="E63" s="368"/>
      <c r="F63" s="94"/>
      <c r="G63" s="95"/>
      <c r="H63" s="254"/>
      <c r="I63" s="2"/>
    </row>
    <row r="64" spans="1:9" ht="18" customHeight="1" x14ac:dyDescent="0.2">
      <c r="A64" s="82"/>
      <c r="B64" s="95" t="s">
        <v>850</v>
      </c>
      <c r="C64" s="80" t="s">
        <v>906</v>
      </c>
      <c r="D64" s="93" t="s">
        <v>940</v>
      </c>
      <c r="E64" s="94">
        <v>50542.302843999998</v>
      </c>
      <c r="F64" s="94">
        <v>50542.389000000003</v>
      </c>
      <c r="G64" s="95"/>
      <c r="H64" s="254"/>
      <c r="I64" s="2"/>
    </row>
    <row r="65" spans="1:9" ht="18" customHeight="1" x14ac:dyDescent="0.2">
      <c r="A65" s="82"/>
      <c r="B65" s="95" t="s">
        <v>850</v>
      </c>
      <c r="C65" s="80" t="s">
        <v>906</v>
      </c>
      <c r="D65" s="93" t="s">
        <v>941</v>
      </c>
      <c r="E65" s="94">
        <v>77884</v>
      </c>
      <c r="F65" s="94">
        <v>77883.800004000004</v>
      </c>
      <c r="G65" s="95"/>
      <c r="H65" s="254"/>
      <c r="I65" s="2"/>
    </row>
    <row r="66" spans="1:9" ht="18" customHeight="1" x14ac:dyDescent="0.2">
      <c r="A66" s="82"/>
      <c r="B66" s="95" t="s">
        <v>850</v>
      </c>
      <c r="C66" s="80" t="s">
        <v>906</v>
      </c>
      <c r="D66" s="93" t="s">
        <v>942</v>
      </c>
      <c r="E66" s="94">
        <v>53034</v>
      </c>
      <c r="F66" s="94">
        <v>53034.156000000003</v>
      </c>
      <c r="G66" s="95"/>
      <c r="H66" s="254"/>
      <c r="I66" s="2"/>
    </row>
    <row r="67" spans="1:9" ht="18" customHeight="1" x14ac:dyDescent="0.2">
      <c r="A67" s="82"/>
      <c r="B67" s="95" t="s">
        <v>850</v>
      </c>
      <c r="C67" s="80" t="s">
        <v>906</v>
      </c>
      <c r="D67" s="93" t="s">
        <v>943</v>
      </c>
      <c r="E67" s="94">
        <v>73025</v>
      </c>
      <c r="F67" s="94">
        <v>73025.19</v>
      </c>
      <c r="G67" s="95"/>
      <c r="H67" s="254"/>
      <c r="I67" s="2"/>
    </row>
    <row r="68" spans="1:9" ht="18" customHeight="1" x14ac:dyDescent="0.2">
      <c r="A68" s="82"/>
      <c r="B68" s="95" t="s">
        <v>850</v>
      </c>
      <c r="C68" s="80" t="s">
        <v>907</v>
      </c>
      <c r="D68" s="93" t="s">
        <v>944</v>
      </c>
      <c r="E68" s="94">
        <v>140758.153796</v>
      </c>
      <c r="F68" s="94">
        <v>140758.31268</v>
      </c>
      <c r="G68" s="95"/>
      <c r="H68" s="254"/>
      <c r="I68" s="2"/>
    </row>
    <row r="69" spans="1:9" ht="18" customHeight="1" thickBot="1" x14ac:dyDescent="0.25">
      <c r="A69" s="82"/>
      <c r="B69" s="95" t="s">
        <v>850</v>
      </c>
      <c r="C69" s="80" t="s">
        <v>906</v>
      </c>
      <c r="D69" s="93" t="s">
        <v>945</v>
      </c>
      <c r="E69" s="367">
        <v>50542</v>
      </c>
      <c r="F69" s="94">
        <v>42118.614000000001</v>
      </c>
      <c r="G69" s="95"/>
      <c r="H69" s="254">
        <f t="shared" ref="H69:H82" si="1">E69-F69</f>
        <v>8423.3859999999986</v>
      </c>
      <c r="I69" s="2"/>
    </row>
    <row r="70" spans="1:9" ht="18" customHeight="1" x14ac:dyDescent="0.2">
      <c r="A70" s="82"/>
      <c r="B70" s="95"/>
      <c r="C70" s="80"/>
      <c r="D70" s="93"/>
      <c r="E70" s="368">
        <f>SUM(E64:E69)</f>
        <v>445785.45663999999</v>
      </c>
      <c r="F70" s="94"/>
      <c r="G70" s="95"/>
      <c r="H70" s="254"/>
      <c r="I70" s="2"/>
    </row>
    <row r="71" spans="1:9" ht="18" customHeight="1" x14ac:dyDescent="0.2">
      <c r="A71" s="82"/>
      <c r="B71" s="95"/>
      <c r="C71" s="80"/>
      <c r="D71" s="93"/>
      <c r="E71" s="369"/>
      <c r="F71" s="94"/>
      <c r="G71" s="95"/>
      <c r="H71" s="254"/>
      <c r="I71" s="2"/>
    </row>
    <row r="72" spans="1:9" ht="18" customHeight="1" x14ac:dyDescent="0.2">
      <c r="A72" s="82"/>
      <c r="B72" s="95" t="s">
        <v>854</v>
      </c>
      <c r="C72" s="80" t="s">
        <v>908</v>
      </c>
      <c r="D72" s="93" t="s">
        <v>946</v>
      </c>
      <c r="E72" s="94">
        <v>99279</v>
      </c>
      <c r="F72" s="94">
        <v>99278.65800000001</v>
      </c>
      <c r="G72" s="95"/>
      <c r="H72" s="254"/>
      <c r="I72" s="2"/>
    </row>
    <row r="73" spans="1:9" ht="18" customHeight="1" thickBot="1" x14ac:dyDescent="0.25">
      <c r="A73" s="82"/>
      <c r="B73" s="95" t="s">
        <v>854</v>
      </c>
      <c r="C73" s="80" t="s">
        <v>909</v>
      </c>
      <c r="D73" s="93" t="s">
        <v>947</v>
      </c>
      <c r="E73" s="367">
        <v>63178</v>
      </c>
      <c r="F73" s="94">
        <v>63177.66</v>
      </c>
      <c r="G73" s="95"/>
      <c r="H73" s="254"/>
      <c r="I73" s="2"/>
    </row>
    <row r="74" spans="1:9" ht="18" customHeight="1" x14ac:dyDescent="0.2">
      <c r="A74" s="82"/>
      <c r="B74" s="95"/>
      <c r="C74" s="80"/>
      <c r="D74" s="93"/>
      <c r="E74" s="368">
        <f>SUM(E72:E73)</f>
        <v>162457</v>
      </c>
      <c r="F74" s="94"/>
      <c r="G74" s="95"/>
      <c r="H74" s="254"/>
      <c r="I74" s="2"/>
    </row>
    <row r="75" spans="1:9" ht="18" customHeight="1" x14ac:dyDescent="0.2">
      <c r="A75" s="82"/>
      <c r="B75" s="95"/>
      <c r="C75" s="80"/>
      <c r="D75" s="93"/>
      <c r="E75" s="94"/>
      <c r="F75" s="94"/>
      <c r="G75" s="95"/>
      <c r="H75" s="254"/>
      <c r="I75" s="2"/>
    </row>
    <row r="76" spans="1:9" ht="18" customHeight="1" x14ac:dyDescent="0.2">
      <c r="A76" s="82"/>
      <c r="B76" s="95" t="s">
        <v>858</v>
      </c>
      <c r="C76" s="80" t="s">
        <v>884</v>
      </c>
      <c r="D76" s="93" t="s">
        <v>948</v>
      </c>
      <c r="E76" s="94">
        <v>51712</v>
      </c>
      <c r="F76" s="94">
        <v>51711.561467999993</v>
      </c>
      <c r="G76" s="95"/>
      <c r="H76" s="254"/>
      <c r="I76" s="2"/>
    </row>
    <row r="77" spans="1:9" ht="18" customHeight="1" x14ac:dyDescent="0.2">
      <c r="A77" s="82"/>
      <c r="B77" s="95" t="s">
        <v>858</v>
      </c>
      <c r="C77" s="80" t="s">
        <v>902</v>
      </c>
      <c r="D77" s="93" t="s">
        <v>949</v>
      </c>
      <c r="E77" s="94">
        <v>136044.6036054414</v>
      </c>
      <c r="F77" s="94">
        <v>136044.54828000002</v>
      </c>
      <c r="G77" s="95"/>
      <c r="H77" s="254"/>
      <c r="I77" s="2"/>
    </row>
    <row r="78" spans="1:9" ht="18" customHeight="1" x14ac:dyDescent="0.2">
      <c r="A78" s="82"/>
      <c r="B78" s="95" t="s">
        <v>858</v>
      </c>
      <c r="C78" s="80" t="s">
        <v>884</v>
      </c>
      <c r="D78" s="93" t="s">
        <v>950</v>
      </c>
      <c r="E78" s="94">
        <v>91810.085190924889</v>
      </c>
      <c r="F78" s="94">
        <v>91810.290204000004</v>
      </c>
      <c r="G78" s="95"/>
      <c r="H78" s="254"/>
      <c r="I78" s="2"/>
    </row>
    <row r="79" spans="1:9" ht="18" customHeight="1" thickBot="1" x14ac:dyDescent="0.25">
      <c r="A79" s="82"/>
      <c r="B79" s="95" t="s">
        <v>858</v>
      </c>
      <c r="C79" s="80" t="s">
        <v>884</v>
      </c>
      <c r="D79" s="93" t="s">
        <v>887</v>
      </c>
      <c r="E79" s="367">
        <v>50542</v>
      </c>
      <c r="F79" s="95">
        <v>50542</v>
      </c>
      <c r="G79" s="95"/>
      <c r="H79" s="95"/>
      <c r="I79" s="2"/>
    </row>
    <row r="80" spans="1:9" ht="18" customHeight="1" x14ac:dyDescent="0.2">
      <c r="A80" s="82"/>
      <c r="B80" s="95"/>
      <c r="C80" s="80"/>
      <c r="D80" s="93"/>
      <c r="E80" s="368">
        <f>SUM(E76:E79)</f>
        <v>330108.68879636627</v>
      </c>
      <c r="F80" s="94"/>
      <c r="G80" s="95"/>
      <c r="H80" s="254"/>
      <c r="I80" s="2"/>
    </row>
    <row r="81" spans="1:9" ht="18" customHeight="1" x14ac:dyDescent="0.2">
      <c r="A81" s="82"/>
      <c r="B81" s="95"/>
      <c r="C81" s="80"/>
      <c r="D81" s="93"/>
      <c r="E81" s="368"/>
      <c r="F81" s="94"/>
      <c r="G81" s="95"/>
      <c r="H81" s="254"/>
      <c r="I81" s="2"/>
    </row>
    <row r="82" spans="1:9" ht="18" customHeight="1" x14ac:dyDescent="0.2">
      <c r="A82" s="82"/>
      <c r="B82" s="95" t="s">
        <v>865</v>
      </c>
      <c r="C82" s="80" t="s">
        <v>910</v>
      </c>
      <c r="D82" s="93" t="s">
        <v>951</v>
      </c>
      <c r="E82" s="94">
        <v>62000</v>
      </c>
      <c r="F82" s="94">
        <v>56000.160000000003</v>
      </c>
      <c r="G82" s="95"/>
      <c r="H82" s="254">
        <f t="shared" si="1"/>
        <v>5999.8399999999965</v>
      </c>
      <c r="I82" s="2"/>
    </row>
    <row r="83" spans="1:9" ht="18" customHeight="1" thickBot="1" x14ac:dyDescent="0.25">
      <c r="A83" s="82"/>
      <c r="B83" s="95"/>
      <c r="C83" s="80"/>
      <c r="D83" s="93"/>
      <c r="E83" s="370">
        <f>SUM(E82)</f>
        <v>62000</v>
      </c>
      <c r="F83" s="94"/>
      <c r="G83" s="95"/>
      <c r="H83" s="254"/>
      <c r="I83" s="2"/>
    </row>
    <row r="84" spans="1:9" ht="18" customHeight="1" x14ac:dyDescent="0.2">
      <c r="A84" s="82"/>
      <c r="B84" s="95"/>
      <c r="C84" s="80"/>
      <c r="D84" s="93"/>
      <c r="E84" s="371"/>
      <c r="F84" s="94"/>
      <c r="G84" s="95"/>
      <c r="H84" s="254"/>
      <c r="I84" s="2"/>
    </row>
    <row r="85" spans="1:9" ht="18" customHeight="1" x14ac:dyDescent="0.2">
      <c r="A85" s="82"/>
      <c r="B85" s="95" t="s">
        <v>867</v>
      </c>
      <c r="C85" s="80" t="s">
        <v>911</v>
      </c>
      <c r="D85" s="93" t="s">
        <v>952</v>
      </c>
      <c r="E85" s="94">
        <v>124479.91367344138</v>
      </c>
      <c r="F85" s="94">
        <v>124479.63828</v>
      </c>
      <c r="G85" s="95"/>
      <c r="H85" s="254"/>
      <c r="I85" s="2"/>
    </row>
    <row r="86" spans="1:9" ht="18" customHeight="1" thickBot="1" x14ac:dyDescent="0.25">
      <c r="A86" s="82"/>
      <c r="B86" s="95" t="s">
        <v>867</v>
      </c>
      <c r="C86" s="80" t="s">
        <v>912</v>
      </c>
      <c r="D86" s="93" t="s">
        <v>953</v>
      </c>
      <c r="E86" s="367">
        <v>59668</v>
      </c>
      <c r="F86" s="94">
        <v>59667.993000000009</v>
      </c>
      <c r="G86" s="95"/>
      <c r="H86" s="254"/>
      <c r="I86" s="2"/>
    </row>
    <row r="87" spans="1:9" ht="18" customHeight="1" x14ac:dyDescent="0.2">
      <c r="A87" s="82"/>
      <c r="B87" s="95"/>
      <c r="C87" s="80"/>
      <c r="D87" s="93"/>
      <c r="E87" s="368">
        <f>SUM(E85:E86)</f>
        <v>184147.91367344139</v>
      </c>
      <c r="F87" s="94"/>
      <c r="G87" s="95"/>
      <c r="H87" s="254"/>
      <c r="I87" s="2"/>
    </row>
    <row r="88" spans="1:9" ht="18" customHeight="1" x14ac:dyDescent="0.2">
      <c r="A88" s="82"/>
      <c r="B88" s="95"/>
      <c r="C88" s="80"/>
      <c r="D88" s="93"/>
      <c r="E88" s="368"/>
      <c r="F88" s="94"/>
      <c r="G88" s="95"/>
      <c r="H88" s="254"/>
      <c r="I88" s="2"/>
    </row>
    <row r="89" spans="1:9" ht="18" customHeight="1" x14ac:dyDescent="0.2">
      <c r="A89" s="82"/>
      <c r="B89" s="95" t="s">
        <v>869</v>
      </c>
      <c r="C89" s="80" t="s">
        <v>913</v>
      </c>
      <c r="D89" s="93" t="s">
        <v>954</v>
      </c>
      <c r="E89" s="94">
        <v>76014</v>
      </c>
      <c r="F89" s="94">
        <v>76013.578404</v>
      </c>
      <c r="G89" s="95"/>
      <c r="H89" s="254"/>
      <c r="I89" s="2"/>
    </row>
    <row r="90" spans="1:9" ht="18" customHeight="1" thickBot="1" x14ac:dyDescent="0.25">
      <c r="A90" s="82"/>
      <c r="B90" s="95" t="s">
        <v>869</v>
      </c>
      <c r="C90" s="80" t="s">
        <v>914</v>
      </c>
      <c r="D90" s="93" t="s">
        <v>955</v>
      </c>
      <c r="E90" s="367">
        <v>51000</v>
      </c>
      <c r="F90" s="94">
        <v>51000.183000000005</v>
      </c>
      <c r="G90" s="95"/>
      <c r="H90" s="254"/>
      <c r="I90" s="2"/>
    </row>
    <row r="91" spans="1:9" ht="18" customHeight="1" x14ac:dyDescent="0.2">
      <c r="A91" s="82"/>
      <c r="B91" s="95"/>
      <c r="C91" s="80"/>
      <c r="D91" s="93"/>
      <c r="E91" s="368">
        <f>SUM(E89:E90)</f>
        <v>127014</v>
      </c>
      <c r="F91" s="94"/>
      <c r="G91" s="95"/>
      <c r="H91" s="254"/>
      <c r="I91" s="2"/>
    </row>
    <row r="92" spans="1:9" ht="18" customHeight="1" x14ac:dyDescent="0.2">
      <c r="A92" s="82"/>
      <c r="B92" s="95"/>
      <c r="C92" s="80"/>
      <c r="D92" s="93"/>
      <c r="E92" s="368"/>
      <c r="F92" s="94"/>
      <c r="G92" s="95"/>
      <c r="H92" s="254"/>
      <c r="I92" s="2"/>
    </row>
    <row r="93" spans="1:9" ht="18" customHeight="1" thickBot="1" x14ac:dyDescent="0.25">
      <c r="A93" s="82"/>
      <c r="B93" s="95" t="s">
        <v>872</v>
      </c>
      <c r="C93" s="80" t="s">
        <v>915</v>
      </c>
      <c r="D93" s="93" t="s">
        <v>956</v>
      </c>
      <c r="E93" s="367">
        <v>117013.30282707182</v>
      </c>
      <c r="F93" s="94">
        <v>117013.00248000001</v>
      </c>
      <c r="G93" s="95"/>
      <c r="H93" s="254"/>
      <c r="I93" s="2"/>
    </row>
    <row r="94" spans="1:9" ht="18" customHeight="1" x14ac:dyDescent="0.2">
      <c r="A94" s="82"/>
      <c r="B94" s="95"/>
      <c r="C94" s="80"/>
      <c r="D94" s="93"/>
      <c r="E94" s="368">
        <f>SUM(E93)</f>
        <v>117013.30282707182</v>
      </c>
      <c r="F94" s="94"/>
      <c r="G94" s="95"/>
      <c r="H94" s="254"/>
      <c r="I94" s="2"/>
    </row>
    <row r="95" spans="1:9" ht="18" customHeight="1" x14ac:dyDescent="0.2">
      <c r="A95" s="82"/>
      <c r="B95" s="95"/>
      <c r="C95" s="80"/>
      <c r="D95" s="93"/>
      <c r="E95" s="94"/>
      <c r="F95" s="94"/>
      <c r="G95" s="95"/>
      <c r="H95" s="254"/>
      <c r="I95" s="2"/>
    </row>
    <row r="96" spans="1:9" ht="18" customHeight="1" x14ac:dyDescent="0.2">
      <c r="A96" s="82"/>
      <c r="B96" s="95" t="s">
        <v>876</v>
      </c>
      <c r="C96" s="80" t="s">
        <v>916</v>
      </c>
      <c r="D96" s="93" t="s">
        <v>957</v>
      </c>
      <c r="E96" s="94">
        <v>123708</v>
      </c>
      <c r="F96" s="94">
        <v>123708.258</v>
      </c>
      <c r="G96" s="95"/>
      <c r="H96" s="254"/>
      <c r="I96" s="2"/>
    </row>
    <row r="97" spans="1:9" ht="18" customHeight="1" thickBot="1" x14ac:dyDescent="0.25">
      <c r="A97" s="82"/>
      <c r="B97" s="95" t="s">
        <v>876</v>
      </c>
      <c r="C97" s="80" t="s">
        <v>917</v>
      </c>
      <c r="D97" s="93" t="s">
        <v>958</v>
      </c>
      <c r="E97" s="367">
        <v>59668</v>
      </c>
      <c r="F97" s="94">
        <v>59667.993000000009</v>
      </c>
      <c r="G97" s="95"/>
      <c r="H97" s="254"/>
      <c r="I97" s="2"/>
    </row>
    <row r="98" spans="1:9" ht="18" customHeight="1" x14ac:dyDescent="0.2">
      <c r="A98" s="82"/>
      <c r="B98" s="95"/>
      <c r="C98" s="80"/>
      <c r="D98" s="93"/>
      <c r="E98" s="368">
        <f>SUM(E96:E97)</f>
        <v>183376</v>
      </c>
      <c r="F98" s="94"/>
      <c r="G98" s="95"/>
      <c r="H98" s="254"/>
      <c r="I98" s="2"/>
    </row>
    <row r="99" spans="1:9" ht="18" customHeight="1" x14ac:dyDescent="0.2">
      <c r="A99" s="82"/>
      <c r="B99" s="95"/>
      <c r="C99" s="80"/>
      <c r="D99" s="93"/>
      <c r="E99" s="368"/>
      <c r="F99" s="94"/>
      <c r="G99" s="95"/>
      <c r="H99" s="254"/>
      <c r="I99" s="2"/>
    </row>
    <row r="100" spans="1:9" ht="18" customHeight="1" x14ac:dyDescent="0.2">
      <c r="A100" s="82"/>
      <c r="B100" s="94"/>
      <c r="C100" s="80"/>
      <c r="D100" s="93"/>
      <c r="E100" s="94"/>
      <c r="F100" s="94"/>
      <c r="G100" s="94"/>
      <c r="H100" s="94"/>
      <c r="I100" s="2"/>
    </row>
    <row r="101" spans="1:9" ht="23.25" customHeight="1" x14ac:dyDescent="0.2">
      <c r="B101" s="97">
        <f>SUM(B8:B100)</f>
        <v>0</v>
      </c>
      <c r="C101" s="81" t="s">
        <v>709</v>
      </c>
      <c r="D101" s="96"/>
      <c r="E101" s="320">
        <f>SUM(E12,E17,E22,E26,E29,E33,E36,E40,E46,E50,E54,E58,E62,E70,E74,E80,E83,E87,E91,E94,E98)</f>
        <v>3640245.4365143212</v>
      </c>
      <c r="F101" s="320">
        <f>SUM(F7:F100)</f>
        <v>3548283.972904</v>
      </c>
      <c r="G101" s="320">
        <f>SUM(G8:G100)</f>
        <v>59424.918000000012</v>
      </c>
      <c r="H101" s="97">
        <f>SUM(H8:H100)</f>
        <v>-16223.46</v>
      </c>
      <c r="I101" s="2"/>
    </row>
    <row r="102" spans="1:9" x14ac:dyDescent="0.2">
      <c r="C102" s="79"/>
    </row>
  </sheetData>
  <mergeCells count="5">
    <mergeCell ref="A5:A6"/>
    <mergeCell ref="C5:C6"/>
    <mergeCell ref="D5:D6"/>
    <mergeCell ref="A1:H1"/>
    <mergeCell ref="A2:H2"/>
  </mergeCells>
  <printOptions horizontalCentered="1"/>
  <pageMargins left="0.25" right="0.25" top="0.67708333333333304" bottom="0.35416666666666702" header="0.3" footer="0.3"/>
  <pageSetup paperSize="17" scale="72" orientation="landscape" r:id="rId1"/>
  <headerFooter>
    <oddFooter>&amp;Rprinted:  &amp;D&amp;T</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opLeftCell="C7" workbookViewId="0">
      <selection activeCell="A13" sqref="A13"/>
    </sheetView>
  </sheetViews>
  <sheetFormatPr defaultColWidth="9.140625" defaultRowHeight="15" x14ac:dyDescent="0.25"/>
  <cols>
    <col min="1" max="2" width="20.7109375" style="151" customWidth="1"/>
    <col min="3" max="3" width="79.42578125" style="151" customWidth="1"/>
    <col min="4" max="4" width="86.28515625" style="151" customWidth="1"/>
    <col min="5" max="5" width="35.5703125" style="151" customWidth="1"/>
    <col min="6" max="6" width="31.28515625" style="151" customWidth="1"/>
    <col min="7" max="7" width="26.140625" style="151" customWidth="1"/>
    <col min="8" max="9" width="9.140625" style="151" hidden="1" customWidth="1"/>
    <col min="10" max="16384" width="9.140625" style="151"/>
  </cols>
  <sheetData>
    <row r="1" spans="1:9" ht="18.75" x14ac:dyDescent="0.3">
      <c r="A1" s="420" t="s">
        <v>787</v>
      </c>
      <c r="B1" s="420"/>
      <c r="C1" s="420"/>
      <c r="D1" s="420"/>
      <c r="E1" s="420"/>
      <c r="F1" s="420"/>
      <c r="G1" s="420"/>
      <c r="H1" s="420"/>
      <c r="I1" s="420"/>
    </row>
    <row r="3" spans="1:9" s="152" customFormat="1" thickBot="1" x14ac:dyDescent="0.25"/>
    <row r="4" spans="1:9" s="152" customFormat="1" thickBot="1" x14ac:dyDescent="0.25">
      <c r="A4" s="416" t="s">
        <v>784</v>
      </c>
      <c r="B4" s="417"/>
      <c r="C4" s="417"/>
      <c r="D4" s="417"/>
      <c r="E4" s="417"/>
      <c r="F4" s="417"/>
      <c r="G4" s="418"/>
    </row>
    <row r="5" spans="1:9" ht="174" customHeight="1" thickBot="1" x14ac:dyDescent="0.3">
      <c r="A5" s="413" t="s">
        <v>1099</v>
      </c>
      <c r="B5" s="414"/>
      <c r="C5" s="414"/>
      <c r="D5" s="414"/>
      <c r="E5" s="414"/>
      <c r="F5" s="414"/>
      <c r="G5" s="415"/>
    </row>
    <row r="6" spans="1:9" ht="15.75" thickBot="1" x14ac:dyDescent="0.3">
      <c r="A6" s="246"/>
      <c r="B6" s="247"/>
      <c r="C6" s="247"/>
      <c r="D6" s="247"/>
      <c r="E6" s="247"/>
      <c r="F6" s="247"/>
      <c r="G6" s="247"/>
    </row>
    <row r="7" spans="1:9" s="152" customFormat="1" ht="16.5" thickBot="1" x14ac:dyDescent="0.3">
      <c r="A7" s="419" t="s">
        <v>794</v>
      </c>
      <c r="B7" s="419"/>
      <c r="C7" s="419"/>
      <c r="D7" s="419"/>
      <c r="E7" s="419"/>
      <c r="F7" s="419"/>
      <c r="G7" s="419"/>
    </row>
    <row r="8" spans="1:9" ht="136.5" customHeight="1" thickBot="1" x14ac:dyDescent="0.3">
      <c r="A8" s="413" t="s">
        <v>1100</v>
      </c>
      <c r="B8" s="414"/>
      <c r="C8" s="414"/>
      <c r="D8" s="414"/>
      <c r="E8" s="414"/>
      <c r="F8" s="414"/>
      <c r="G8" s="415"/>
    </row>
    <row r="9" spans="1:9" ht="15.75" thickBot="1" x14ac:dyDescent="0.3">
      <c r="A9" s="246"/>
      <c r="B9" s="247"/>
      <c r="C9" s="247"/>
      <c r="D9" s="247"/>
      <c r="E9" s="247"/>
      <c r="F9" s="247"/>
      <c r="G9" s="247"/>
    </row>
    <row r="10" spans="1:9" s="107" customFormat="1" ht="18" customHeight="1" x14ac:dyDescent="0.25"/>
    <row r="11" spans="1:9" s="107" customFormat="1" ht="131.25" hidden="1" customHeight="1" x14ac:dyDescent="0.25"/>
    <row r="12" spans="1:9" s="244" customFormat="1" ht="62.25" customHeight="1" x14ac:dyDescent="0.2">
      <c r="A12" s="243" t="s">
        <v>765</v>
      </c>
      <c r="B12" s="243" t="s">
        <v>783</v>
      </c>
      <c r="C12" s="243" t="s">
        <v>719</v>
      </c>
      <c r="D12" s="245" t="s">
        <v>71</v>
      </c>
      <c r="E12" s="243" t="s">
        <v>771</v>
      </c>
      <c r="F12" s="243" t="s">
        <v>673</v>
      </c>
      <c r="G12" s="243" t="s">
        <v>674</v>
      </c>
    </row>
    <row r="13" spans="1:9" s="107" customFormat="1" ht="109.5" customHeight="1" x14ac:dyDescent="0.25">
      <c r="A13" s="223" t="s">
        <v>966</v>
      </c>
      <c r="B13" s="223" t="s">
        <v>1097</v>
      </c>
      <c r="C13" s="147" t="s">
        <v>1098</v>
      </c>
      <c r="D13" s="147" t="s">
        <v>1106</v>
      </c>
      <c r="E13" s="147" t="s">
        <v>638</v>
      </c>
      <c r="F13" s="148" t="s">
        <v>1101</v>
      </c>
      <c r="G13" s="147" t="s">
        <v>1102</v>
      </c>
    </row>
    <row r="14" spans="1:9" s="107" customFormat="1" ht="108" customHeight="1" x14ac:dyDescent="0.25">
      <c r="A14" s="223" t="s">
        <v>967</v>
      </c>
      <c r="B14" s="223" t="s">
        <v>1097</v>
      </c>
      <c r="C14" s="147" t="s">
        <v>1103</v>
      </c>
      <c r="D14" s="147" t="s">
        <v>1107</v>
      </c>
      <c r="E14" s="364" t="s">
        <v>638</v>
      </c>
      <c r="F14" s="148" t="s">
        <v>1104</v>
      </c>
      <c r="G14" s="149" t="s">
        <v>1105</v>
      </c>
    </row>
    <row r="15" spans="1:9" s="107" customFormat="1" ht="129.75" customHeight="1" x14ac:dyDescent="0.25">
      <c r="A15" s="223" t="s">
        <v>968</v>
      </c>
      <c r="B15" s="223"/>
      <c r="C15" s="147"/>
      <c r="D15" s="147"/>
      <c r="E15" s="147"/>
      <c r="F15" s="150"/>
      <c r="G15" s="149"/>
    </row>
  </sheetData>
  <mergeCells count="5">
    <mergeCell ref="A5:G5"/>
    <mergeCell ref="A8:G8"/>
    <mergeCell ref="A4:G4"/>
    <mergeCell ref="A7:G7"/>
    <mergeCell ref="A1:I1"/>
  </mergeCells>
  <printOptions horizontalCentered="1"/>
  <pageMargins left="0.45" right="0.45" top="0.5" bottom="0.5" header="0.3" footer="0.3"/>
  <pageSetup paperSize="5" scale="63" orientation="landscape" r:id="rId1"/>
  <headerFooter>
    <oddFooter>&amp;L&amp;A&amp;Rprinted &amp;D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[5]StratObjectives!#REF!</xm:f>
          </x14:formula1>
          <xm:sqref>E13:E15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C5" sqref="C5"/>
    </sheetView>
  </sheetViews>
  <sheetFormatPr defaultColWidth="9.140625" defaultRowHeight="15" x14ac:dyDescent="0.25"/>
  <cols>
    <col min="1" max="1" width="54.140625" style="151" customWidth="1"/>
    <col min="2" max="2" width="38.28515625" style="151" customWidth="1"/>
    <col min="3" max="3" width="53.28515625" style="151" customWidth="1"/>
    <col min="4" max="4" width="60.28515625" style="151" customWidth="1"/>
    <col min="5" max="5" width="47.28515625" style="151" customWidth="1"/>
    <col min="6" max="16384" width="9.140625" style="151"/>
  </cols>
  <sheetData>
    <row r="1" spans="1:5" ht="20.25" x14ac:dyDescent="0.3">
      <c r="A1" s="421" t="s">
        <v>797</v>
      </c>
      <c r="B1" s="421"/>
      <c r="C1" s="421"/>
      <c r="D1" s="421"/>
      <c r="E1" s="421"/>
    </row>
    <row r="2" spans="1:5" x14ac:dyDescent="0.25">
      <c r="A2" s="154"/>
      <c r="B2" s="154"/>
      <c r="C2" s="154"/>
      <c r="D2" s="154"/>
      <c r="E2" s="154"/>
    </row>
    <row r="3" spans="1:5" x14ac:dyDescent="0.25">
      <c r="A3" s="154"/>
      <c r="B3" s="154"/>
      <c r="C3" s="154"/>
      <c r="D3" s="154"/>
      <c r="E3" s="154"/>
    </row>
    <row r="4" spans="1:5" s="153" customFormat="1" ht="44.25" customHeight="1" x14ac:dyDescent="0.25">
      <c r="A4" s="155" t="s">
        <v>772</v>
      </c>
      <c r="B4" s="155" t="s">
        <v>795</v>
      </c>
      <c r="C4" s="155" t="s">
        <v>774</v>
      </c>
      <c r="D4" s="155" t="s">
        <v>775</v>
      </c>
      <c r="E4" s="155" t="s">
        <v>773</v>
      </c>
    </row>
    <row r="5" spans="1:5" ht="68.25" customHeight="1" x14ac:dyDescent="0.25">
      <c r="A5" s="154" t="s">
        <v>1111</v>
      </c>
      <c r="B5" s="342">
        <v>103223</v>
      </c>
      <c r="C5" s="341" t="s">
        <v>1122</v>
      </c>
      <c r="D5" s="154"/>
      <c r="E5" s="154"/>
    </row>
    <row r="6" spans="1:5" ht="68.25" customHeight="1" x14ac:dyDescent="0.25">
      <c r="A6" s="154"/>
      <c r="B6" s="154"/>
      <c r="C6" s="154"/>
      <c r="D6" s="154"/>
      <c r="E6" s="154"/>
    </row>
    <row r="7" spans="1:5" ht="68.25" customHeight="1" x14ac:dyDescent="0.25">
      <c r="A7" s="154"/>
      <c r="B7" s="154"/>
      <c r="C7" s="154"/>
      <c r="D7" s="154"/>
      <c r="E7" s="154"/>
    </row>
    <row r="8" spans="1:5" ht="68.25" customHeight="1" x14ac:dyDescent="0.25">
      <c r="A8" s="154"/>
      <c r="B8" s="154"/>
      <c r="C8" s="154"/>
      <c r="D8" s="154"/>
      <c r="E8" s="154"/>
    </row>
    <row r="9" spans="1:5" ht="68.25" customHeight="1" x14ac:dyDescent="0.25">
      <c r="A9" s="154"/>
      <c r="B9" s="154"/>
      <c r="C9" s="154"/>
      <c r="D9" s="154"/>
      <c r="E9" s="154"/>
    </row>
    <row r="10" spans="1:5" ht="68.25" customHeight="1" thickBot="1" x14ac:dyDescent="0.3">
      <c r="A10" s="151" t="s">
        <v>23</v>
      </c>
      <c r="B10" s="343">
        <f>SUM(B5:B9)</f>
        <v>103223</v>
      </c>
    </row>
    <row r="11" spans="1:5" ht="68.25" customHeight="1" thickTop="1" x14ac:dyDescent="0.25"/>
    <row r="12" spans="1:5" ht="68.25" customHeight="1" x14ac:dyDescent="0.25"/>
    <row r="13" spans="1:5" ht="68.25" customHeight="1" x14ac:dyDescent="0.25"/>
    <row r="14" spans="1:5" ht="68.25" customHeight="1" x14ac:dyDescent="0.25"/>
    <row r="15" spans="1:5" ht="68.25" customHeight="1" x14ac:dyDescent="0.25"/>
    <row r="16" spans="1:5" ht="68.25" customHeight="1" x14ac:dyDescent="0.25"/>
    <row r="17" ht="68.25" customHeight="1" x14ac:dyDescent="0.25"/>
    <row r="18" ht="68.25" customHeight="1" x14ac:dyDescent="0.25"/>
    <row r="19" ht="68.25" customHeight="1" x14ac:dyDescent="0.25"/>
    <row r="20" ht="68.25" customHeight="1" x14ac:dyDescent="0.25"/>
  </sheetData>
  <mergeCells count="1">
    <mergeCell ref="A1:E1"/>
  </mergeCells>
  <pageMargins left="0" right="0" top="0.75" bottom="0.75" header="0.3" footer="0.3"/>
  <pageSetup paperSize="5" scale="6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U31"/>
  <sheetViews>
    <sheetView topLeftCell="E19" zoomScaleNormal="100" workbookViewId="0">
      <selection activeCell="P36" sqref="P36"/>
    </sheetView>
  </sheetViews>
  <sheetFormatPr defaultColWidth="9.140625" defaultRowHeight="15.75" x14ac:dyDescent="0.25"/>
  <cols>
    <col min="1" max="1" width="8" style="83" customWidth="1"/>
    <col min="2" max="2" width="13.85546875" style="83" bestFit="1" customWidth="1"/>
    <col min="3" max="4" width="20.7109375" style="83" customWidth="1"/>
    <col min="5" max="5" width="19.7109375" style="83" customWidth="1"/>
    <col min="6" max="6" width="8.28515625" style="83" customWidth="1"/>
    <col min="7" max="7" width="23.28515625" style="83" bestFit="1" customWidth="1"/>
    <col min="8" max="8" width="29.5703125" style="83" customWidth="1"/>
    <col min="9" max="9" width="12.7109375" style="102" bestFit="1" customWidth="1"/>
    <col min="10" max="10" width="12" style="102" customWidth="1"/>
    <col min="11" max="12" width="15.28515625" style="102" customWidth="1"/>
    <col min="13" max="13" width="16.7109375" style="102" customWidth="1"/>
    <col min="14" max="14" width="10.42578125" style="103" customWidth="1"/>
    <col min="15" max="15" width="8" style="106" bestFit="1" customWidth="1"/>
    <col min="16" max="17" width="12.7109375" style="84" customWidth="1"/>
    <col min="18" max="18" width="13.28515625" style="84" customWidth="1"/>
    <col min="19" max="19" width="21" style="83" bestFit="1" customWidth="1"/>
    <col min="20" max="20" width="16.140625" style="83" bestFit="1" customWidth="1"/>
    <col min="21" max="21" width="22.5703125" style="83" customWidth="1"/>
    <col min="22" max="16384" width="9.140625" style="83"/>
  </cols>
  <sheetData>
    <row r="1" spans="1:21" s="85" customFormat="1" ht="21" customHeight="1" x14ac:dyDescent="0.25">
      <c r="A1" s="423" t="s">
        <v>800</v>
      </c>
      <c r="B1" s="423"/>
      <c r="C1" s="423"/>
      <c r="D1" s="423"/>
      <c r="E1" s="423"/>
      <c r="F1" s="423"/>
      <c r="G1" s="423"/>
      <c r="H1" s="423"/>
      <c r="I1" s="423"/>
      <c r="J1" s="423"/>
      <c r="K1" s="423"/>
      <c r="L1" s="423"/>
      <c r="M1" s="423"/>
      <c r="N1" s="423"/>
      <c r="O1" s="423"/>
      <c r="P1" s="423"/>
      <c r="Q1" s="423"/>
      <c r="R1" s="423"/>
      <c r="S1" s="423"/>
      <c r="T1" s="423"/>
      <c r="U1" s="423"/>
    </row>
    <row r="2" spans="1:21" s="107" customFormat="1" ht="27.6" customHeight="1" x14ac:dyDescent="0.25">
      <c r="A2" s="424" t="s">
        <v>675</v>
      </c>
      <c r="B2" s="424"/>
      <c r="C2" s="424"/>
      <c r="D2" s="424"/>
      <c r="E2" s="424"/>
      <c r="F2" s="424"/>
      <c r="G2" s="424"/>
      <c r="H2" s="424"/>
      <c r="I2" s="424"/>
      <c r="J2" s="424"/>
      <c r="K2" s="424"/>
      <c r="L2" s="424"/>
      <c r="M2" s="424"/>
      <c r="N2" s="424"/>
      <c r="O2" s="424"/>
      <c r="P2" s="424"/>
      <c r="Q2" s="424"/>
      <c r="R2" s="424"/>
      <c r="S2" s="424"/>
      <c r="T2" s="424"/>
      <c r="U2" s="424"/>
    </row>
    <row r="3" spans="1:21" s="107" customFormat="1" ht="27" customHeight="1" x14ac:dyDescent="0.25">
      <c r="A3" s="425" t="s">
        <v>718</v>
      </c>
      <c r="B3" s="425"/>
      <c r="C3" s="425"/>
      <c r="D3" s="425"/>
      <c r="E3" s="425"/>
      <c r="F3" s="425"/>
      <c r="G3" s="425"/>
      <c r="H3" s="425"/>
      <c r="I3" s="425"/>
      <c r="J3" s="425"/>
      <c r="K3" s="425"/>
      <c r="L3" s="425"/>
      <c r="M3" s="425"/>
      <c r="N3" s="425"/>
      <c r="O3" s="425"/>
      <c r="P3" s="425"/>
      <c r="Q3" s="425"/>
      <c r="R3" s="425"/>
      <c r="S3" s="425"/>
      <c r="T3" s="425"/>
      <c r="U3" s="425"/>
    </row>
    <row r="4" spans="1:21" s="107" customFormat="1" ht="18" customHeight="1" x14ac:dyDescent="0.25">
      <c r="A4" s="426" t="s">
        <v>806</v>
      </c>
      <c r="B4" s="426"/>
      <c r="C4" s="426"/>
      <c r="D4" s="426"/>
      <c r="E4" s="426"/>
      <c r="F4" s="426"/>
      <c r="G4" s="426"/>
      <c r="H4" s="426"/>
      <c r="I4" s="119"/>
      <c r="J4" s="119"/>
      <c r="K4" s="119"/>
      <c r="L4" s="119"/>
      <c r="M4" s="119"/>
      <c r="N4" s="119"/>
      <c r="O4" s="119"/>
      <c r="P4" s="119"/>
      <c r="Q4" s="119"/>
      <c r="R4" s="119"/>
      <c r="S4" s="119"/>
      <c r="T4" s="119"/>
      <c r="U4" s="119"/>
    </row>
    <row r="5" spans="1:21" s="107" customFormat="1" ht="13.9" customHeight="1" x14ac:dyDescent="0.25">
      <c r="A5" s="427" t="s">
        <v>807</v>
      </c>
      <c r="B5" s="427"/>
      <c r="C5" s="427"/>
      <c r="D5" s="427"/>
      <c r="E5" s="427"/>
      <c r="F5" s="427"/>
      <c r="G5" s="427"/>
      <c r="H5" s="427"/>
      <c r="I5" s="427"/>
      <c r="J5" s="427"/>
      <c r="K5" s="427"/>
      <c r="L5" s="427"/>
      <c r="M5" s="427"/>
      <c r="N5" s="427"/>
      <c r="O5" s="427"/>
      <c r="P5" s="427"/>
      <c r="Q5" s="427"/>
      <c r="R5" s="427"/>
      <c r="S5" s="427"/>
      <c r="T5" s="427"/>
      <c r="U5" s="427"/>
    </row>
    <row r="6" spans="1:21" s="107" customFormat="1" ht="13.5" customHeight="1" x14ac:dyDescent="0.25">
      <c r="A6" s="275"/>
      <c r="B6" s="275"/>
      <c r="C6" s="275"/>
      <c r="D6" s="275"/>
      <c r="E6" s="275"/>
      <c r="F6" s="275"/>
      <c r="G6" s="275"/>
      <c r="H6" s="275"/>
      <c r="I6" s="275"/>
      <c r="J6" s="275"/>
      <c r="K6" s="275"/>
      <c r="L6" s="275"/>
      <c r="M6" s="275"/>
      <c r="N6" s="275"/>
      <c r="O6" s="275"/>
      <c r="P6" s="275"/>
      <c r="Q6" s="275"/>
      <c r="R6" s="275"/>
      <c r="S6" s="275"/>
      <c r="T6" s="275"/>
      <c r="U6" s="275"/>
    </row>
    <row r="7" spans="1:21" s="107" customFormat="1" ht="21" customHeight="1" x14ac:dyDescent="0.25">
      <c r="A7" s="428" t="s">
        <v>808</v>
      </c>
      <c r="B7" s="428"/>
      <c r="C7" s="428"/>
      <c r="D7" s="428"/>
      <c r="E7" s="428"/>
      <c r="F7" s="428"/>
      <c r="G7" s="428"/>
      <c r="H7" s="428"/>
      <c r="I7" s="428"/>
      <c r="J7" s="428"/>
      <c r="K7" s="428"/>
      <c r="L7" s="428"/>
      <c r="M7" s="428"/>
      <c r="N7" s="428"/>
      <c r="O7" s="428"/>
      <c r="P7" s="428"/>
      <c r="Q7" s="428"/>
      <c r="R7" s="428"/>
      <c r="S7" s="428"/>
      <c r="T7" s="428"/>
      <c r="U7" s="428"/>
    </row>
    <row r="8" spans="1:21" s="107" customFormat="1" ht="21.6" customHeight="1" x14ac:dyDescent="0.25">
      <c r="A8" s="422" t="s">
        <v>676</v>
      </c>
      <c r="B8" s="422"/>
      <c r="C8" s="422"/>
      <c r="D8" s="422"/>
      <c r="E8" s="422"/>
      <c r="F8" s="422"/>
      <c r="G8" s="422"/>
      <c r="H8" s="422"/>
      <c r="I8" s="422"/>
      <c r="J8" s="422"/>
      <c r="K8" s="422"/>
      <c r="L8" s="422"/>
      <c r="M8" s="422"/>
      <c r="N8" s="422"/>
      <c r="O8" s="422"/>
      <c r="P8" s="422"/>
      <c r="Q8" s="422"/>
      <c r="R8" s="422"/>
      <c r="S8" s="422"/>
      <c r="T8" s="422"/>
      <c r="U8" s="422"/>
    </row>
    <row r="9" spans="1:21" s="116" customFormat="1" ht="90" x14ac:dyDescent="0.25">
      <c r="A9" s="108" t="s">
        <v>683</v>
      </c>
      <c r="B9" s="108" t="s">
        <v>789</v>
      </c>
      <c r="C9" s="108" t="s">
        <v>735</v>
      </c>
      <c r="D9" s="108" t="s">
        <v>736</v>
      </c>
      <c r="E9" s="108" t="s">
        <v>677</v>
      </c>
      <c r="F9" s="108" t="s">
        <v>689</v>
      </c>
      <c r="G9" s="108" t="s">
        <v>678</v>
      </c>
      <c r="H9" s="109" t="s">
        <v>679</v>
      </c>
      <c r="I9" s="110" t="s">
        <v>798</v>
      </c>
      <c r="J9" s="111" t="s">
        <v>680</v>
      </c>
      <c r="K9" s="110" t="s">
        <v>790</v>
      </c>
      <c r="L9" s="110" t="s">
        <v>793</v>
      </c>
      <c r="M9" s="111" t="s">
        <v>805</v>
      </c>
      <c r="N9" s="112" t="s">
        <v>681</v>
      </c>
      <c r="O9" s="113" t="s">
        <v>33</v>
      </c>
      <c r="P9" s="113" t="s">
        <v>742</v>
      </c>
      <c r="Q9" s="113" t="s">
        <v>743</v>
      </c>
      <c r="R9" s="113" t="s">
        <v>744</v>
      </c>
      <c r="S9" s="114" t="s">
        <v>792</v>
      </c>
      <c r="T9" s="115" t="s">
        <v>737</v>
      </c>
      <c r="U9" s="115" t="s">
        <v>738</v>
      </c>
    </row>
    <row r="10" spans="1:21" ht="51.75" x14ac:dyDescent="0.25">
      <c r="A10" s="86">
        <v>1</v>
      </c>
      <c r="B10" s="87" t="s">
        <v>973</v>
      </c>
      <c r="C10" s="88" t="s">
        <v>721</v>
      </c>
      <c r="D10" s="88" t="s">
        <v>1031</v>
      </c>
      <c r="E10" s="88" t="s">
        <v>1069</v>
      </c>
      <c r="F10" s="88"/>
      <c r="G10" s="88"/>
      <c r="H10" s="88" t="s">
        <v>1033</v>
      </c>
      <c r="I10" s="98" t="s">
        <v>977</v>
      </c>
      <c r="J10" s="98" t="s">
        <v>1034</v>
      </c>
      <c r="K10" s="98" t="s">
        <v>979</v>
      </c>
      <c r="L10" s="98" t="s">
        <v>985</v>
      </c>
      <c r="M10" s="98"/>
      <c r="N10" s="99">
        <v>2</v>
      </c>
      <c r="O10" s="104">
        <v>1000</v>
      </c>
      <c r="P10" s="392">
        <f t="shared" ref="P10:P19" si="0">N10*O10</f>
        <v>2000</v>
      </c>
      <c r="Q10" s="89"/>
      <c r="R10" s="89"/>
      <c r="S10" s="88" t="s">
        <v>980</v>
      </c>
      <c r="T10" s="88"/>
      <c r="U10" s="87" t="s">
        <v>1051</v>
      </c>
    </row>
    <row r="11" spans="1:21" ht="90" x14ac:dyDescent="0.25">
      <c r="A11" s="86">
        <v>2</v>
      </c>
      <c r="B11" s="87" t="s">
        <v>973</v>
      </c>
      <c r="C11" s="88" t="s">
        <v>721</v>
      </c>
      <c r="D11" s="88" t="s">
        <v>974</v>
      </c>
      <c r="E11" s="129" t="s">
        <v>975</v>
      </c>
      <c r="F11" s="129"/>
      <c r="G11" s="88"/>
      <c r="H11" s="88" t="s">
        <v>976</v>
      </c>
      <c r="I11" s="98" t="s">
        <v>977</v>
      </c>
      <c r="J11" s="98" t="s">
        <v>978</v>
      </c>
      <c r="K11" s="98" t="s">
        <v>979</v>
      </c>
      <c r="L11" s="98" t="s">
        <v>979</v>
      </c>
      <c r="M11" s="98"/>
      <c r="N11" s="99">
        <v>5</v>
      </c>
      <c r="O11" s="104">
        <v>525</v>
      </c>
      <c r="P11" s="392">
        <f t="shared" si="0"/>
        <v>2625</v>
      </c>
      <c r="Q11" s="89"/>
      <c r="R11" s="89"/>
      <c r="S11" s="88" t="s">
        <v>980</v>
      </c>
      <c r="T11" s="88">
        <v>0</v>
      </c>
      <c r="U11" s="87" t="s">
        <v>981</v>
      </c>
    </row>
    <row r="12" spans="1:21" ht="51.75" x14ac:dyDescent="0.25">
      <c r="A12" s="86">
        <v>3</v>
      </c>
      <c r="B12" s="87" t="s">
        <v>973</v>
      </c>
      <c r="C12" s="88" t="s">
        <v>721</v>
      </c>
      <c r="D12" s="88" t="s">
        <v>974</v>
      </c>
      <c r="E12" s="88" t="s">
        <v>982</v>
      </c>
      <c r="F12" s="88"/>
      <c r="G12" s="88"/>
      <c r="H12" s="88" t="s">
        <v>983</v>
      </c>
      <c r="I12" s="98" t="s">
        <v>977</v>
      </c>
      <c r="J12" s="98" t="s">
        <v>984</v>
      </c>
      <c r="K12" s="98" t="s">
        <v>979</v>
      </c>
      <c r="L12" s="98" t="s">
        <v>985</v>
      </c>
      <c r="M12" s="98" t="s">
        <v>986</v>
      </c>
      <c r="N12" s="99">
        <v>4</v>
      </c>
      <c r="O12" s="104">
        <v>729</v>
      </c>
      <c r="P12" s="392">
        <f t="shared" si="0"/>
        <v>2916</v>
      </c>
      <c r="Q12" s="89"/>
      <c r="R12" s="89"/>
      <c r="S12" s="88" t="s">
        <v>639</v>
      </c>
      <c r="T12" s="88">
        <v>0</v>
      </c>
      <c r="U12" s="87" t="s">
        <v>987</v>
      </c>
    </row>
    <row r="13" spans="1:21" ht="166.5" x14ac:dyDescent="0.25">
      <c r="A13" s="86">
        <v>4</v>
      </c>
      <c r="B13" s="87" t="s">
        <v>973</v>
      </c>
      <c r="C13" s="88" t="s">
        <v>721</v>
      </c>
      <c r="D13" s="88" t="s">
        <v>1008</v>
      </c>
      <c r="E13" s="88" t="s">
        <v>1010</v>
      </c>
      <c r="F13" s="88"/>
      <c r="G13" s="88"/>
      <c r="H13" s="88" t="s">
        <v>1009</v>
      </c>
      <c r="I13" s="98" t="s">
        <v>993</v>
      </c>
      <c r="J13" s="98"/>
      <c r="K13" s="98" t="s">
        <v>979</v>
      </c>
      <c r="L13" s="98" t="s">
        <v>1011</v>
      </c>
      <c r="M13" s="338" t="s">
        <v>1012</v>
      </c>
      <c r="N13" s="99">
        <v>1</v>
      </c>
      <c r="O13" s="104">
        <v>5000</v>
      </c>
      <c r="P13" s="392">
        <f t="shared" si="0"/>
        <v>5000</v>
      </c>
      <c r="Q13" s="89"/>
      <c r="R13" s="89"/>
      <c r="S13" s="88" t="s">
        <v>980</v>
      </c>
      <c r="T13" s="88"/>
      <c r="U13" s="87" t="s">
        <v>1026</v>
      </c>
    </row>
    <row r="14" spans="1:21" ht="99" customHeight="1" x14ac:dyDescent="0.25">
      <c r="A14" s="86">
        <f t="shared" ref="A14:A19" si="1">+A13+1</f>
        <v>5</v>
      </c>
      <c r="B14" s="87" t="s">
        <v>973</v>
      </c>
      <c r="C14" s="88" t="s">
        <v>721</v>
      </c>
      <c r="D14" s="88" t="s">
        <v>1008</v>
      </c>
      <c r="E14" s="88" t="s">
        <v>1013</v>
      </c>
      <c r="F14" s="88"/>
      <c r="G14" s="88"/>
      <c r="H14" s="88" t="s">
        <v>1014</v>
      </c>
      <c r="I14" s="98" t="s">
        <v>977</v>
      </c>
      <c r="J14" s="98"/>
      <c r="K14" s="98" t="s">
        <v>979</v>
      </c>
      <c r="L14" s="98" t="s">
        <v>1011</v>
      </c>
      <c r="M14" s="98"/>
      <c r="N14" s="99">
        <v>1</v>
      </c>
      <c r="O14" s="104">
        <v>3500</v>
      </c>
      <c r="P14" s="392">
        <f t="shared" si="0"/>
        <v>3500</v>
      </c>
      <c r="Q14" s="89"/>
      <c r="R14" s="89"/>
      <c r="S14" s="88" t="s">
        <v>638</v>
      </c>
      <c r="T14" s="88"/>
      <c r="U14" s="87" t="s">
        <v>1015</v>
      </c>
    </row>
    <row r="15" spans="1:21" ht="121.5" customHeight="1" x14ac:dyDescent="0.25">
      <c r="A15" s="86">
        <f t="shared" si="1"/>
        <v>6</v>
      </c>
      <c r="B15" s="87" t="s">
        <v>973</v>
      </c>
      <c r="C15" s="88" t="s">
        <v>721</v>
      </c>
      <c r="D15" s="88" t="s">
        <v>1057</v>
      </c>
      <c r="E15" s="88" t="s">
        <v>1058</v>
      </c>
      <c r="F15" s="88"/>
      <c r="G15" s="88"/>
      <c r="H15" s="88" t="s">
        <v>1059</v>
      </c>
      <c r="I15" s="98" t="s">
        <v>977</v>
      </c>
      <c r="J15" s="98" t="s">
        <v>1060</v>
      </c>
      <c r="K15" s="98" t="s">
        <v>979</v>
      </c>
      <c r="L15" s="98" t="s">
        <v>979</v>
      </c>
      <c r="M15" s="98"/>
      <c r="N15" s="99">
        <v>1</v>
      </c>
      <c r="O15" s="104">
        <v>6000</v>
      </c>
      <c r="P15" s="392">
        <f t="shared" si="0"/>
        <v>6000</v>
      </c>
      <c r="Q15" s="89"/>
      <c r="R15" s="89"/>
      <c r="S15" s="88" t="s">
        <v>980</v>
      </c>
      <c r="T15" s="88"/>
      <c r="U15" s="347" t="s">
        <v>1061</v>
      </c>
    </row>
    <row r="16" spans="1:21" ht="128.25" x14ac:dyDescent="0.25">
      <c r="A16" s="86">
        <f t="shared" si="1"/>
        <v>7</v>
      </c>
      <c r="B16" s="87" t="s">
        <v>973</v>
      </c>
      <c r="C16" s="88" t="s">
        <v>721</v>
      </c>
      <c r="D16" s="88" t="s">
        <v>1003</v>
      </c>
      <c r="E16" s="88" t="s">
        <v>1002</v>
      </c>
      <c r="F16" s="88"/>
      <c r="G16" s="88"/>
      <c r="H16" s="88" t="s">
        <v>1004</v>
      </c>
      <c r="I16" s="98" t="s">
        <v>993</v>
      </c>
      <c r="J16" s="98"/>
      <c r="K16" s="98" t="s">
        <v>979</v>
      </c>
      <c r="L16" s="98" t="s">
        <v>985</v>
      </c>
      <c r="M16" s="98"/>
      <c r="N16" s="99">
        <v>1</v>
      </c>
      <c r="O16" s="104">
        <v>1200</v>
      </c>
      <c r="P16" s="392">
        <f t="shared" si="0"/>
        <v>1200</v>
      </c>
      <c r="Q16" s="89"/>
      <c r="R16" s="89"/>
      <c r="S16" s="88" t="s">
        <v>638</v>
      </c>
      <c r="T16" s="88"/>
      <c r="U16" s="87" t="s">
        <v>1005</v>
      </c>
    </row>
    <row r="17" spans="1:21" ht="121.5" customHeight="1" x14ac:dyDescent="0.25">
      <c r="A17" s="86">
        <f t="shared" si="1"/>
        <v>8</v>
      </c>
      <c r="B17" s="87" t="s">
        <v>973</v>
      </c>
      <c r="C17" s="88" t="s">
        <v>721</v>
      </c>
      <c r="D17" s="88" t="s">
        <v>1023</v>
      </c>
      <c r="E17" s="88" t="s">
        <v>1024</v>
      </c>
      <c r="F17" s="88"/>
      <c r="G17" s="88"/>
      <c r="H17" s="88" t="s">
        <v>1025</v>
      </c>
      <c r="I17" s="98" t="s">
        <v>977</v>
      </c>
      <c r="J17" s="98" t="s">
        <v>984</v>
      </c>
      <c r="K17" s="98" t="s">
        <v>979</v>
      </c>
      <c r="L17" s="98" t="s">
        <v>985</v>
      </c>
      <c r="M17" s="98"/>
      <c r="N17" s="99">
        <v>4</v>
      </c>
      <c r="O17" s="104">
        <v>1000</v>
      </c>
      <c r="P17" s="392">
        <f t="shared" si="0"/>
        <v>4000</v>
      </c>
      <c r="Q17" s="89"/>
      <c r="R17" s="89"/>
      <c r="S17" s="88" t="s">
        <v>67</v>
      </c>
      <c r="T17" s="88">
        <v>0</v>
      </c>
      <c r="U17" s="87" t="s">
        <v>1049</v>
      </c>
    </row>
    <row r="18" spans="1:21" ht="114" customHeight="1" x14ac:dyDescent="0.25">
      <c r="A18" s="86">
        <f t="shared" si="1"/>
        <v>9</v>
      </c>
      <c r="B18" s="87" t="s">
        <v>973</v>
      </c>
      <c r="C18" s="88" t="s">
        <v>721</v>
      </c>
      <c r="D18" s="88" t="s">
        <v>994</v>
      </c>
      <c r="E18" s="88" t="s">
        <v>991</v>
      </c>
      <c r="F18" s="88"/>
      <c r="G18" s="88"/>
      <c r="H18" s="88" t="s">
        <v>992</v>
      </c>
      <c r="I18" s="98" t="s">
        <v>993</v>
      </c>
      <c r="J18" s="98"/>
      <c r="K18" s="98" t="s">
        <v>979</v>
      </c>
      <c r="L18" s="98" t="s">
        <v>979</v>
      </c>
      <c r="M18" s="98"/>
      <c r="N18" s="99">
        <v>1</v>
      </c>
      <c r="O18" s="104">
        <v>3490</v>
      </c>
      <c r="P18" s="392">
        <f t="shared" si="0"/>
        <v>3490</v>
      </c>
      <c r="Q18" s="89"/>
      <c r="R18" s="89"/>
      <c r="S18" s="88" t="s">
        <v>980</v>
      </c>
      <c r="T18" s="88"/>
      <c r="U18" s="87" t="s">
        <v>1050</v>
      </c>
    </row>
    <row r="19" spans="1:21" ht="73.5" customHeight="1" x14ac:dyDescent="0.25">
      <c r="A19" s="86">
        <f t="shared" si="1"/>
        <v>10</v>
      </c>
      <c r="B19" s="87" t="s">
        <v>973</v>
      </c>
      <c r="C19" s="88" t="s">
        <v>721</v>
      </c>
      <c r="D19" s="88" t="s">
        <v>859</v>
      </c>
      <c r="E19" s="88" t="s">
        <v>1002</v>
      </c>
      <c r="F19" s="88"/>
      <c r="G19" s="88"/>
      <c r="H19" s="88" t="s">
        <v>1053</v>
      </c>
      <c r="I19" s="98" t="s">
        <v>993</v>
      </c>
      <c r="J19" s="98"/>
      <c r="K19" s="98" t="s">
        <v>979</v>
      </c>
      <c r="L19" s="98" t="s">
        <v>979</v>
      </c>
      <c r="M19" s="98"/>
      <c r="N19" s="99">
        <v>1</v>
      </c>
      <c r="O19" s="104">
        <v>8000</v>
      </c>
      <c r="P19" s="89">
        <f t="shared" si="0"/>
        <v>8000</v>
      </c>
      <c r="Q19" s="89"/>
      <c r="R19" s="89"/>
      <c r="S19" s="88" t="s">
        <v>638</v>
      </c>
      <c r="T19" s="88"/>
      <c r="U19" s="87" t="s">
        <v>1054</v>
      </c>
    </row>
    <row r="20" spans="1:21" ht="43.5" customHeight="1" x14ac:dyDescent="0.25">
      <c r="A20" s="86">
        <f>+'Equipment below $1,000'!A15+1</f>
        <v>12</v>
      </c>
      <c r="B20" s="87" t="s">
        <v>973</v>
      </c>
      <c r="C20" s="88" t="s">
        <v>721</v>
      </c>
      <c r="D20" s="88" t="s">
        <v>1077</v>
      </c>
      <c r="E20" s="88" t="s">
        <v>1087</v>
      </c>
      <c r="F20" s="88"/>
      <c r="G20" s="88"/>
      <c r="H20" s="88" t="s">
        <v>1078</v>
      </c>
      <c r="I20" s="98" t="s">
        <v>977</v>
      </c>
      <c r="J20" s="98"/>
      <c r="K20" s="98" t="s">
        <v>985</v>
      </c>
      <c r="L20" s="98" t="s">
        <v>985</v>
      </c>
      <c r="M20" s="98"/>
      <c r="N20" s="99">
        <v>0</v>
      </c>
      <c r="O20" s="104">
        <v>0</v>
      </c>
      <c r="P20" s="89">
        <f t="shared" ref="P20:P28" si="2">N20*O20</f>
        <v>0</v>
      </c>
      <c r="Q20" s="89"/>
      <c r="R20" s="89">
        <v>9000</v>
      </c>
      <c r="S20" s="88" t="s">
        <v>635</v>
      </c>
      <c r="T20" s="88"/>
      <c r="U20" s="87" t="s">
        <v>1079</v>
      </c>
    </row>
    <row r="21" spans="1:21" x14ac:dyDescent="0.25">
      <c r="A21" s="86">
        <f t="shared" ref="A21:A28" si="3">+A20+1</f>
        <v>13</v>
      </c>
      <c r="B21" s="87" t="s">
        <v>973</v>
      </c>
      <c r="C21" s="88" t="s">
        <v>721</v>
      </c>
      <c r="D21" s="88" t="s">
        <v>1077</v>
      </c>
      <c r="E21" s="88" t="s">
        <v>1087</v>
      </c>
      <c r="F21" s="88"/>
      <c r="G21" s="88"/>
      <c r="H21" s="88" t="s">
        <v>1080</v>
      </c>
      <c r="I21" s="98" t="s">
        <v>977</v>
      </c>
      <c r="J21" s="98"/>
      <c r="K21" s="98" t="s">
        <v>1011</v>
      </c>
      <c r="L21" s="98" t="s">
        <v>1011</v>
      </c>
      <c r="M21" s="98"/>
      <c r="N21" s="99">
        <v>5</v>
      </c>
      <c r="O21" s="104">
        <v>200</v>
      </c>
      <c r="P21" s="392">
        <f t="shared" si="2"/>
        <v>1000</v>
      </c>
      <c r="Q21" s="89">
        <v>1000</v>
      </c>
      <c r="R21" s="89"/>
      <c r="S21" s="88" t="s">
        <v>635</v>
      </c>
      <c r="T21" s="88"/>
      <c r="U21" s="337" t="s">
        <v>1081</v>
      </c>
    </row>
    <row r="22" spans="1:21" ht="60.75" customHeight="1" x14ac:dyDescent="0.25">
      <c r="A22" s="86">
        <f t="shared" si="3"/>
        <v>14</v>
      </c>
      <c r="B22" s="87" t="s">
        <v>973</v>
      </c>
      <c r="C22" s="88" t="s">
        <v>721</v>
      </c>
      <c r="D22" s="88" t="s">
        <v>1085</v>
      </c>
      <c r="E22" s="88" t="s">
        <v>1088</v>
      </c>
      <c r="F22" s="88"/>
      <c r="G22" s="88"/>
      <c r="H22" s="88" t="s">
        <v>1086</v>
      </c>
      <c r="I22" s="98" t="s">
        <v>993</v>
      </c>
      <c r="J22" s="98"/>
      <c r="K22" s="98" t="s">
        <v>979</v>
      </c>
      <c r="L22" s="98" t="s">
        <v>979</v>
      </c>
      <c r="M22" s="98"/>
      <c r="N22" s="99">
        <v>1</v>
      </c>
      <c r="O22" s="104">
        <v>1200</v>
      </c>
      <c r="P22" s="392">
        <f t="shared" si="2"/>
        <v>1200</v>
      </c>
      <c r="Q22" s="89"/>
      <c r="R22" s="89"/>
      <c r="S22" s="88" t="s">
        <v>980</v>
      </c>
      <c r="T22" s="88"/>
      <c r="U22" s="87" t="s">
        <v>1112</v>
      </c>
    </row>
    <row r="23" spans="1:21" ht="86.25" customHeight="1" x14ac:dyDescent="0.25">
      <c r="A23" s="86">
        <f t="shared" si="3"/>
        <v>15</v>
      </c>
      <c r="B23" s="87" t="s">
        <v>973</v>
      </c>
      <c r="C23" s="88" t="s">
        <v>721</v>
      </c>
      <c r="D23" s="88" t="s">
        <v>1085</v>
      </c>
      <c r="E23" s="88" t="s">
        <v>1087</v>
      </c>
      <c r="F23" s="88"/>
      <c r="G23" s="88"/>
      <c r="H23" s="88" t="s">
        <v>1089</v>
      </c>
      <c r="I23" s="98" t="s">
        <v>977</v>
      </c>
      <c r="J23" s="98"/>
      <c r="K23" s="98" t="s">
        <v>1011</v>
      </c>
      <c r="L23" s="98" t="s">
        <v>979</v>
      </c>
      <c r="M23" s="98"/>
      <c r="N23" s="99">
        <v>1</v>
      </c>
      <c r="O23" s="104">
        <v>2000</v>
      </c>
      <c r="P23" s="392">
        <f t="shared" si="2"/>
        <v>2000</v>
      </c>
      <c r="Q23" s="89"/>
      <c r="R23" s="89"/>
      <c r="S23" s="88" t="s">
        <v>980</v>
      </c>
      <c r="T23" s="88"/>
      <c r="U23" s="87" t="s">
        <v>1113</v>
      </c>
    </row>
    <row r="24" spans="1:21" x14ac:dyDescent="0.25">
      <c r="A24" s="86">
        <f t="shared" si="3"/>
        <v>16</v>
      </c>
      <c r="B24" s="87" t="s">
        <v>973</v>
      </c>
      <c r="C24" s="88" t="s">
        <v>721</v>
      </c>
      <c r="D24" s="88" t="s">
        <v>1085</v>
      </c>
      <c r="E24" s="88" t="s">
        <v>1087</v>
      </c>
      <c r="F24" s="88"/>
      <c r="G24" s="88"/>
      <c r="H24" s="88" t="s">
        <v>1080</v>
      </c>
      <c r="I24" s="98" t="s">
        <v>977</v>
      </c>
      <c r="J24" s="98"/>
      <c r="K24" s="98" t="s">
        <v>1011</v>
      </c>
      <c r="L24" s="98" t="s">
        <v>1011</v>
      </c>
      <c r="M24" s="98"/>
      <c r="N24" s="99">
        <v>5</v>
      </c>
      <c r="O24" s="104">
        <v>200</v>
      </c>
      <c r="P24" s="392">
        <f t="shared" si="2"/>
        <v>1000</v>
      </c>
      <c r="Q24" s="89">
        <v>1000</v>
      </c>
      <c r="R24" s="89"/>
      <c r="S24" s="88" t="s">
        <v>635</v>
      </c>
      <c r="T24" s="88"/>
      <c r="U24" s="337" t="s">
        <v>1081</v>
      </c>
    </row>
    <row r="25" spans="1:21" x14ac:dyDescent="0.25">
      <c r="A25" s="86">
        <f t="shared" si="3"/>
        <v>17</v>
      </c>
      <c r="B25" s="87" t="s">
        <v>973</v>
      </c>
      <c r="C25" s="88" t="s">
        <v>721</v>
      </c>
      <c r="D25" s="88" t="s">
        <v>1114</v>
      </c>
      <c r="E25" s="88" t="s">
        <v>991</v>
      </c>
      <c r="F25" s="88"/>
      <c r="G25" s="88"/>
      <c r="H25" s="88" t="s">
        <v>1115</v>
      </c>
      <c r="I25" s="98" t="s">
        <v>977</v>
      </c>
      <c r="J25" s="98"/>
      <c r="K25" s="98" t="s">
        <v>979</v>
      </c>
      <c r="L25" s="98" t="s">
        <v>979</v>
      </c>
      <c r="M25" s="98"/>
      <c r="N25" s="99">
        <v>2</v>
      </c>
      <c r="O25" s="104">
        <v>4750</v>
      </c>
      <c r="P25" s="89">
        <f t="shared" si="2"/>
        <v>9500</v>
      </c>
      <c r="Q25" s="89"/>
      <c r="R25" s="89"/>
      <c r="S25" s="88" t="s">
        <v>980</v>
      </c>
      <c r="T25" s="88"/>
      <c r="U25" s="88" t="s">
        <v>1116</v>
      </c>
    </row>
    <row r="26" spans="1:21" ht="51.75" x14ac:dyDescent="0.25">
      <c r="A26" s="86">
        <f t="shared" si="3"/>
        <v>18</v>
      </c>
      <c r="B26" s="87" t="s">
        <v>973</v>
      </c>
      <c r="C26" s="88" t="s">
        <v>721</v>
      </c>
      <c r="D26" s="88" t="s">
        <v>1114</v>
      </c>
      <c r="E26" s="88" t="s">
        <v>1117</v>
      </c>
      <c r="F26" s="88"/>
      <c r="G26" s="88"/>
      <c r="H26" s="88" t="s">
        <v>1118</v>
      </c>
      <c r="I26" s="98" t="s">
        <v>993</v>
      </c>
      <c r="J26" s="98"/>
      <c r="K26" s="98" t="s">
        <v>979</v>
      </c>
      <c r="L26" s="98" t="s">
        <v>979</v>
      </c>
      <c r="M26" s="98"/>
      <c r="N26" s="99">
        <v>1</v>
      </c>
      <c r="O26" s="104">
        <v>15000</v>
      </c>
      <c r="P26" s="392">
        <f t="shared" si="2"/>
        <v>15000</v>
      </c>
      <c r="Q26" s="89"/>
      <c r="R26" s="89"/>
      <c r="S26" s="88" t="s">
        <v>980</v>
      </c>
      <c r="T26" s="88"/>
      <c r="U26" s="87" t="s">
        <v>1119</v>
      </c>
    </row>
    <row r="27" spans="1:21" x14ac:dyDescent="0.25">
      <c r="A27" s="86">
        <f t="shared" si="3"/>
        <v>19</v>
      </c>
      <c r="B27" s="87"/>
      <c r="C27" s="88"/>
      <c r="D27" s="88"/>
      <c r="E27" s="88"/>
      <c r="F27" s="88"/>
      <c r="G27" s="88"/>
      <c r="H27" s="88"/>
      <c r="I27" s="98"/>
      <c r="J27" s="98"/>
      <c r="K27" s="98"/>
      <c r="L27" s="98"/>
      <c r="M27" s="98"/>
      <c r="N27" s="99"/>
      <c r="O27" s="104"/>
      <c r="P27" s="89">
        <f t="shared" si="2"/>
        <v>0</v>
      </c>
      <c r="Q27" s="89"/>
      <c r="R27" s="89"/>
      <c r="S27" s="88"/>
      <c r="T27" s="88"/>
      <c r="U27" s="88"/>
    </row>
    <row r="28" spans="1:21" x14ac:dyDescent="0.25">
      <c r="A28" s="86">
        <f t="shared" si="3"/>
        <v>20</v>
      </c>
      <c r="B28" s="87"/>
      <c r="C28" s="88"/>
      <c r="D28" s="88"/>
      <c r="E28" s="88"/>
      <c r="F28" s="88"/>
      <c r="G28" s="88"/>
      <c r="H28" s="88"/>
      <c r="I28" s="98"/>
      <c r="J28" s="98"/>
      <c r="K28" s="98"/>
      <c r="L28" s="98"/>
      <c r="M28" s="98"/>
      <c r="N28" s="99"/>
      <c r="O28" s="104"/>
      <c r="P28" s="89">
        <f t="shared" si="2"/>
        <v>0</v>
      </c>
      <c r="Q28" s="89"/>
      <c r="R28" s="89"/>
      <c r="S28" s="88"/>
      <c r="T28" s="88"/>
      <c r="U28" s="88"/>
    </row>
    <row r="29" spans="1:21" ht="16.5" thickBot="1" x14ac:dyDescent="0.3">
      <c r="A29" s="90" t="s">
        <v>682</v>
      </c>
      <c r="B29" s="90"/>
      <c r="C29" s="91"/>
      <c r="D29" s="91"/>
      <c r="E29" s="91"/>
      <c r="F29" s="91"/>
      <c r="G29" s="91"/>
      <c r="H29" s="91"/>
      <c r="I29" s="100"/>
      <c r="J29" s="100"/>
      <c r="K29" s="100"/>
      <c r="L29" s="100"/>
      <c r="M29" s="100"/>
      <c r="N29" s="101"/>
      <c r="O29" s="105"/>
      <c r="P29" s="92">
        <f>SUM(P10:P28)</f>
        <v>68431</v>
      </c>
      <c r="Q29" s="92">
        <f>SUM(Q10:Q28)</f>
        <v>2000</v>
      </c>
      <c r="R29" s="92">
        <f>SUM(R10:R28)</f>
        <v>9000</v>
      </c>
      <c r="S29" s="88"/>
      <c r="T29" s="92">
        <f>SUM(T10:T28)</f>
        <v>0</v>
      </c>
      <c r="U29" s="88"/>
    </row>
    <row r="30" spans="1:21" ht="18" customHeight="1" thickTop="1" x14ac:dyDescent="0.25"/>
    <row r="31" spans="1:21" x14ac:dyDescent="0.25">
      <c r="P31" s="393">
        <f>SUM(P10:P18,P21:P24,P26)</f>
        <v>50931</v>
      </c>
      <c r="Q31" s="395" t="s">
        <v>1143</v>
      </c>
      <c r="R31" s="396"/>
    </row>
  </sheetData>
  <sortState ref="A10:U20">
    <sortCondition ref="K10:K20"/>
    <sortCondition ref="D10:D20"/>
  </sortState>
  <mergeCells count="7">
    <mergeCell ref="A8:U8"/>
    <mergeCell ref="A1:U1"/>
    <mergeCell ref="A2:U2"/>
    <mergeCell ref="A3:U3"/>
    <mergeCell ref="A4:H4"/>
    <mergeCell ref="A5:U5"/>
    <mergeCell ref="A7:U7"/>
  </mergeCells>
  <dataValidations count="3">
    <dataValidation type="list" allowBlank="1" showInputMessage="1" showErrorMessage="1" sqref="S10:S19 S20:S28">
      <formula1>"Academic Excellence, Community Engagement, Enrollment, Increased Revenue, Safety"</formula1>
    </dataValidation>
    <dataValidation type="list" allowBlank="1" showInputMessage="1" showErrorMessage="1" sqref="K10:L19 K20:L28">
      <formula1>"Low, Medium, High"</formula1>
    </dataValidation>
    <dataValidation type="list" allowBlank="1" showInputMessage="1" showErrorMessage="1" sqref="I10:I19 I20:I28">
      <formula1>"Replace, Unmet Need"</formula1>
    </dataValidation>
  </dataValidations>
  <hyperlinks>
    <hyperlink ref="A5:U5" r:id="rId1" display="&gt; Instructor Workstations, projectors, projector screens, Clickshares, televisions, audio systems and other audio visual related equipment please submit this form “https://form.jotform.com/73025596788976 ”   and you may contact Chad Valk in the Media Cent"/>
    <hyperlink ref="A4:H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A7:U7" r:id="rId4" display="&gt; If the Capital Equipment request is tied to a Revovation, please ensure you include a Capital Projects and Space Planning Request form that can be found here “http://www.ccsu.edu/facilitiesmanagement/forms”  . You may contact Facilities with any q"/>
  </hyperlinks>
  <pageMargins left="0" right="0" top="0.75" bottom="0.5" header="0.3" footer="0.3"/>
  <pageSetup paperSize="17" scale="63" fitToHeight="0" orientation="landscape" r:id="rId5"/>
  <headerFooter>
    <oddFooter>&amp;Rprinted:  &amp;D&amp;T</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topLeftCell="G10" workbookViewId="0">
      <selection activeCell="M35" sqref="M35"/>
    </sheetView>
  </sheetViews>
  <sheetFormatPr defaultColWidth="9.140625" defaultRowHeight="15.75" x14ac:dyDescent="0.25"/>
  <cols>
    <col min="1" max="1" width="8" style="83" customWidth="1"/>
    <col min="2" max="2" width="14.28515625" style="83" customWidth="1"/>
    <col min="3" max="4" width="20.7109375" style="83" customWidth="1"/>
    <col min="5" max="5" width="19.7109375" style="83" customWidth="1"/>
    <col min="6" max="6" width="8.28515625" style="83" customWidth="1"/>
    <col min="7" max="7" width="23.28515625" style="83" bestFit="1" customWidth="1"/>
    <col min="8" max="8" width="27.85546875" style="83" customWidth="1"/>
    <col min="9" max="9" width="12.7109375" style="102" bestFit="1" customWidth="1"/>
    <col min="10" max="10" width="12" style="102" customWidth="1"/>
    <col min="11" max="12" width="15.28515625" style="102" customWidth="1"/>
    <col min="13" max="13" width="16.7109375" style="102" customWidth="1"/>
    <col min="14" max="14" width="10.42578125" style="103" customWidth="1"/>
    <col min="15" max="15" width="8" style="106" bestFit="1" customWidth="1"/>
    <col min="16" max="17" width="12.7109375" style="84" customWidth="1"/>
    <col min="18" max="18" width="11.85546875" style="84" customWidth="1"/>
    <col min="19" max="19" width="21" style="83" bestFit="1" customWidth="1"/>
    <col min="20" max="20" width="21" style="83" customWidth="1"/>
    <col min="21" max="21" width="31.140625" style="83" customWidth="1"/>
    <col min="22" max="16384" width="9.140625" style="83"/>
  </cols>
  <sheetData>
    <row r="1" spans="1:21" s="85" customFormat="1" ht="21" customHeight="1" x14ac:dyDescent="0.25">
      <c r="A1" s="423" t="s">
        <v>801</v>
      </c>
      <c r="B1" s="423"/>
      <c r="C1" s="423"/>
      <c r="D1" s="423"/>
      <c r="E1" s="423"/>
      <c r="F1" s="423"/>
      <c r="G1" s="423"/>
      <c r="H1" s="423"/>
      <c r="I1" s="423"/>
      <c r="J1" s="423"/>
      <c r="K1" s="423"/>
      <c r="L1" s="423"/>
      <c r="M1" s="423"/>
      <c r="N1" s="423"/>
      <c r="O1" s="423"/>
      <c r="P1" s="423"/>
      <c r="Q1" s="423"/>
      <c r="R1" s="423"/>
      <c r="S1" s="423"/>
      <c r="T1" s="423"/>
      <c r="U1" s="423"/>
    </row>
    <row r="2" spans="1:21" s="107" customFormat="1" ht="9.75" customHeight="1" x14ac:dyDescent="0.25">
      <c r="A2" s="424"/>
      <c r="B2" s="424"/>
      <c r="C2" s="424"/>
      <c r="D2" s="424"/>
      <c r="E2" s="424"/>
      <c r="F2" s="424"/>
      <c r="G2" s="424"/>
      <c r="H2" s="424"/>
      <c r="I2" s="424"/>
      <c r="J2" s="424"/>
      <c r="K2" s="424"/>
      <c r="L2" s="424"/>
      <c r="M2" s="424"/>
      <c r="N2" s="424"/>
      <c r="O2" s="424"/>
      <c r="P2" s="424"/>
      <c r="Q2" s="424"/>
      <c r="R2" s="424"/>
      <c r="S2" s="424"/>
      <c r="T2" s="424"/>
      <c r="U2" s="424"/>
    </row>
    <row r="3" spans="1:21" s="107" customFormat="1" ht="27" customHeight="1" x14ac:dyDescent="0.25">
      <c r="A3" s="425" t="s">
        <v>718</v>
      </c>
      <c r="B3" s="425"/>
      <c r="C3" s="425"/>
      <c r="D3" s="425"/>
      <c r="E3" s="425"/>
      <c r="F3" s="425"/>
      <c r="G3" s="425"/>
      <c r="H3" s="425"/>
      <c r="I3" s="425"/>
      <c r="J3" s="425"/>
      <c r="K3" s="425"/>
      <c r="L3" s="425"/>
      <c r="M3" s="425"/>
      <c r="N3" s="425"/>
      <c r="O3" s="425"/>
      <c r="P3" s="425"/>
      <c r="Q3" s="425"/>
      <c r="R3" s="425"/>
      <c r="S3" s="425"/>
      <c r="T3" s="425"/>
      <c r="U3" s="425"/>
    </row>
    <row r="4" spans="1:21" s="107" customFormat="1" ht="18" customHeight="1" x14ac:dyDescent="0.25">
      <c r="A4" s="426" t="s">
        <v>809</v>
      </c>
      <c r="B4" s="426"/>
      <c r="C4" s="426"/>
      <c r="D4" s="426"/>
      <c r="E4" s="426"/>
      <c r="F4" s="426"/>
      <c r="G4" s="426"/>
      <c r="H4" s="426"/>
      <c r="I4" s="119"/>
      <c r="J4" s="119"/>
      <c r="K4" s="119"/>
      <c r="L4" s="119"/>
      <c r="M4" s="119"/>
      <c r="N4" s="119"/>
      <c r="O4" s="119"/>
      <c r="P4" s="119"/>
      <c r="Q4" s="119"/>
      <c r="R4" s="119"/>
      <c r="S4" s="119"/>
      <c r="T4" s="119"/>
      <c r="U4" s="119"/>
    </row>
    <row r="5" spans="1:21" s="107" customFormat="1" ht="13.9" customHeight="1" x14ac:dyDescent="0.25">
      <c r="A5" s="427" t="s">
        <v>807</v>
      </c>
      <c r="B5" s="427"/>
      <c r="C5" s="427"/>
      <c r="D5" s="427"/>
      <c r="E5" s="427"/>
      <c r="F5" s="427"/>
      <c r="G5" s="427"/>
      <c r="H5" s="427"/>
      <c r="I5" s="427"/>
      <c r="J5" s="427"/>
      <c r="K5" s="427"/>
      <c r="L5" s="427"/>
      <c r="M5" s="427"/>
      <c r="N5" s="427"/>
      <c r="O5" s="427"/>
      <c r="P5" s="427"/>
      <c r="Q5" s="427"/>
      <c r="R5" s="427"/>
      <c r="S5" s="427"/>
      <c r="T5" s="427"/>
      <c r="U5" s="427"/>
    </row>
    <row r="6" spans="1:21" s="107" customFormat="1" ht="13.5" customHeight="1" x14ac:dyDescent="0.25">
      <c r="A6" s="275"/>
      <c r="B6" s="275"/>
      <c r="C6" s="275"/>
      <c r="D6" s="275"/>
      <c r="E6" s="275"/>
      <c r="F6" s="275"/>
      <c r="G6" s="275"/>
      <c r="H6" s="275"/>
      <c r="I6" s="275"/>
      <c r="J6" s="275"/>
      <c r="K6" s="275"/>
      <c r="L6" s="275"/>
      <c r="M6" s="275"/>
      <c r="N6" s="275"/>
      <c r="O6" s="275"/>
      <c r="P6" s="275"/>
      <c r="Q6" s="275"/>
      <c r="R6" s="275"/>
      <c r="S6" s="275"/>
      <c r="T6" s="275"/>
      <c r="U6" s="275"/>
    </row>
    <row r="7" spans="1:21" s="107" customFormat="1" ht="21" customHeight="1" x14ac:dyDescent="0.25">
      <c r="A7" s="428" t="s">
        <v>808</v>
      </c>
      <c r="B7" s="428"/>
      <c r="C7" s="428"/>
      <c r="D7" s="428"/>
      <c r="E7" s="428"/>
      <c r="F7" s="428"/>
      <c r="G7" s="428"/>
      <c r="H7" s="428"/>
      <c r="I7" s="428"/>
      <c r="J7" s="428"/>
      <c r="K7" s="428"/>
      <c r="L7" s="428"/>
      <c r="M7" s="428"/>
      <c r="N7" s="428"/>
      <c r="O7" s="428"/>
      <c r="P7" s="428"/>
      <c r="Q7" s="428"/>
      <c r="R7" s="428"/>
      <c r="S7" s="428"/>
      <c r="T7" s="428"/>
      <c r="U7" s="428"/>
    </row>
    <row r="8" spans="1:21" s="107" customFormat="1" ht="21.6" customHeight="1" x14ac:dyDescent="0.25">
      <c r="A8" s="422" t="s">
        <v>676</v>
      </c>
      <c r="B8" s="422"/>
      <c r="C8" s="422"/>
      <c r="D8" s="422"/>
      <c r="E8" s="422"/>
      <c r="F8" s="422"/>
      <c r="G8" s="422"/>
      <c r="H8" s="422"/>
      <c r="I8" s="422"/>
      <c r="J8" s="422"/>
      <c r="K8" s="422"/>
      <c r="L8" s="422"/>
      <c r="M8" s="422"/>
      <c r="N8" s="422"/>
      <c r="O8" s="422"/>
      <c r="P8" s="422"/>
      <c r="Q8" s="422"/>
      <c r="R8" s="422"/>
      <c r="S8" s="422"/>
      <c r="T8" s="422"/>
      <c r="U8" s="422"/>
    </row>
    <row r="9" spans="1:21" s="116" customFormat="1" ht="77.25" x14ac:dyDescent="0.25">
      <c r="A9" s="108" t="s">
        <v>683</v>
      </c>
      <c r="B9" s="108" t="s">
        <v>734</v>
      </c>
      <c r="C9" s="108" t="s">
        <v>735</v>
      </c>
      <c r="D9" s="108" t="s">
        <v>736</v>
      </c>
      <c r="E9" s="108" t="s">
        <v>677</v>
      </c>
      <c r="F9" s="108" t="s">
        <v>689</v>
      </c>
      <c r="G9" s="108" t="s">
        <v>678</v>
      </c>
      <c r="H9" s="109" t="s">
        <v>679</v>
      </c>
      <c r="I9" s="110" t="s">
        <v>798</v>
      </c>
      <c r="J9" s="111" t="s">
        <v>680</v>
      </c>
      <c r="K9" s="110" t="s">
        <v>790</v>
      </c>
      <c r="L9" s="110" t="s">
        <v>791</v>
      </c>
      <c r="M9" s="111" t="s">
        <v>805</v>
      </c>
      <c r="N9" s="112" t="s">
        <v>681</v>
      </c>
      <c r="O9" s="117" t="s">
        <v>33</v>
      </c>
      <c r="P9" s="113" t="s">
        <v>742</v>
      </c>
      <c r="Q9" s="113" t="s">
        <v>743</v>
      </c>
      <c r="R9" s="113" t="s">
        <v>744</v>
      </c>
      <c r="S9" s="114" t="s">
        <v>792</v>
      </c>
      <c r="T9" s="115" t="s">
        <v>737</v>
      </c>
      <c r="U9" s="115" t="s">
        <v>738</v>
      </c>
    </row>
    <row r="10" spans="1:21" ht="55.5" customHeight="1" x14ac:dyDescent="0.25">
      <c r="A10" s="86">
        <v>1</v>
      </c>
      <c r="B10" s="87" t="s">
        <v>973</v>
      </c>
      <c r="C10" s="88" t="s">
        <v>721</v>
      </c>
      <c r="D10" s="88" t="s">
        <v>994</v>
      </c>
      <c r="E10" s="88" t="s">
        <v>991</v>
      </c>
      <c r="F10" s="88"/>
      <c r="G10" s="88"/>
      <c r="H10" s="88" t="s">
        <v>995</v>
      </c>
      <c r="I10" s="98" t="s">
        <v>977</v>
      </c>
      <c r="J10" s="98" t="s">
        <v>984</v>
      </c>
      <c r="K10" s="98" t="s">
        <v>979</v>
      </c>
      <c r="L10" s="98" t="s">
        <v>979</v>
      </c>
      <c r="M10" s="98"/>
      <c r="N10" s="99">
        <v>1</v>
      </c>
      <c r="O10" s="104">
        <v>875</v>
      </c>
      <c r="P10" s="89">
        <f t="shared" ref="P10:P30" si="0">N10*O10</f>
        <v>875</v>
      </c>
      <c r="Q10" s="89"/>
      <c r="R10" s="89"/>
      <c r="S10" s="88" t="s">
        <v>980</v>
      </c>
      <c r="T10" s="118"/>
      <c r="U10" s="87" t="s">
        <v>1066</v>
      </c>
    </row>
    <row r="11" spans="1:21" ht="46.5" customHeight="1" x14ac:dyDescent="0.25">
      <c r="A11" s="86">
        <v>2</v>
      </c>
      <c r="B11" s="87" t="s">
        <v>973</v>
      </c>
      <c r="C11" s="88" t="s">
        <v>721</v>
      </c>
      <c r="D11" s="88" t="s">
        <v>1023</v>
      </c>
      <c r="E11" s="88" t="s">
        <v>1027</v>
      </c>
      <c r="F11" s="88"/>
      <c r="G11" s="88"/>
      <c r="H11" s="88" t="s">
        <v>1028</v>
      </c>
      <c r="I11" s="98" t="s">
        <v>993</v>
      </c>
      <c r="J11" s="98"/>
      <c r="K11" s="98" t="s">
        <v>979</v>
      </c>
      <c r="L11" s="98" t="s">
        <v>985</v>
      </c>
      <c r="M11" s="98"/>
      <c r="N11" s="99">
        <v>3</v>
      </c>
      <c r="O11" s="104">
        <v>200</v>
      </c>
      <c r="P11" s="397">
        <f t="shared" ref="P11:P14" si="1">N11*O11</f>
        <v>600</v>
      </c>
      <c r="Q11" s="89">
        <v>600</v>
      </c>
      <c r="R11" s="89"/>
      <c r="S11" s="88" t="s">
        <v>980</v>
      </c>
      <c r="T11" s="337"/>
      <c r="U11" s="87" t="s">
        <v>1029</v>
      </c>
    </row>
    <row r="12" spans="1:21" ht="31.5" customHeight="1" x14ac:dyDescent="0.25">
      <c r="A12" s="86">
        <f t="shared" ref="A12:A30" si="2">+A11+1</f>
        <v>3</v>
      </c>
      <c r="B12" s="87" t="s">
        <v>973</v>
      </c>
      <c r="C12" s="88" t="s">
        <v>721</v>
      </c>
      <c r="D12" s="88" t="s">
        <v>1031</v>
      </c>
      <c r="E12" s="88" t="s">
        <v>1032</v>
      </c>
      <c r="F12" s="88"/>
      <c r="G12" s="88"/>
      <c r="H12" s="88" t="s">
        <v>1035</v>
      </c>
      <c r="I12" s="98" t="s">
        <v>977</v>
      </c>
      <c r="J12" s="98" t="s">
        <v>978</v>
      </c>
      <c r="K12" s="98" t="s">
        <v>979</v>
      </c>
      <c r="L12" s="98" t="s">
        <v>985</v>
      </c>
      <c r="M12" s="98"/>
      <c r="N12" s="99">
        <v>2</v>
      </c>
      <c r="O12" s="104">
        <v>500</v>
      </c>
      <c r="P12" s="89">
        <f t="shared" si="1"/>
        <v>1000</v>
      </c>
      <c r="Q12" s="89"/>
      <c r="R12" s="89"/>
      <c r="S12" s="88" t="s">
        <v>980</v>
      </c>
      <c r="T12" s="118"/>
      <c r="U12" s="87" t="s">
        <v>1036</v>
      </c>
    </row>
    <row r="13" spans="1:21" ht="23.25" customHeight="1" x14ac:dyDescent="0.25">
      <c r="A13" s="86">
        <f t="shared" si="2"/>
        <v>4</v>
      </c>
      <c r="B13" s="87" t="s">
        <v>973</v>
      </c>
      <c r="C13" s="88" t="s">
        <v>721</v>
      </c>
      <c r="D13" s="88" t="s">
        <v>1031</v>
      </c>
      <c r="E13" s="88" t="s">
        <v>1032</v>
      </c>
      <c r="F13" s="88"/>
      <c r="G13" s="88"/>
      <c r="H13" s="88" t="s">
        <v>1067</v>
      </c>
      <c r="I13" s="98" t="s">
        <v>977</v>
      </c>
      <c r="J13" s="98" t="s">
        <v>978</v>
      </c>
      <c r="K13" s="98" t="s">
        <v>979</v>
      </c>
      <c r="L13" s="98" t="s">
        <v>985</v>
      </c>
      <c r="M13" s="98"/>
      <c r="N13" s="99">
        <v>1</v>
      </c>
      <c r="O13" s="104">
        <v>200</v>
      </c>
      <c r="P13" s="89">
        <f t="shared" si="1"/>
        <v>200</v>
      </c>
      <c r="Q13" s="89"/>
      <c r="R13" s="89"/>
      <c r="S13" s="88" t="s">
        <v>980</v>
      </c>
      <c r="T13" s="118"/>
      <c r="U13" s="346" t="s">
        <v>1037</v>
      </c>
    </row>
    <row r="14" spans="1:21" ht="28.5" customHeight="1" x14ac:dyDescent="0.25">
      <c r="A14" s="86">
        <f t="shared" si="2"/>
        <v>5</v>
      </c>
      <c r="B14" s="87" t="s">
        <v>973</v>
      </c>
      <c r="C14" s="88" t="s">
        <v>721</v>
      </c>
      <c r="D14" s="88" t="s">
        <v>1077</v>
      </c>
      <c r="E14" s="88" t="s">
        <v>1082</v>
      </c>
      <c r="F14" s="88"/>
      <c r="G14" s="88"/>
      <c r="H14" s="88" t="s">
        <v>1083</v>
      </c>
      <c r="I14" s="98" t="s">
        <v>977</v>
      </c>
      <c r="J14" s="98" t="s">
        <v>984</v>
      </c>
      <c r="K14" s="98" t="s">
        <v>1011</v>
      </c>
      <c r="L14" s="98" t="s">
        <v>985</v>
      </c>
      <c r="M14" s="98"/>
      <c r="N14" s="99">
        <v>1</v>
      </c>
      <c r="O14" s="104">
        <v>300</v>
      </c>
      <c r="P14" s="89">
        <f t="shared" si="1"/>
        <v>300</v>
      </c>
      <c r="Q14" s="89"/>
      <c r="R14" s="89"/>
      <c r="S14" s="88" t="s">
        <v>635</v>
      </c>
      <c r="U14" s="87" t="s">
        <v>1084</v>
      </c>
    </row>
    <row r="15" spans="1:21" ht="64.5" x14ac:dyDescent="0.25">
      <c r="A15" s="86">
        <f>+'Capital Equipment $1,000 +'!A19+1</f>
        <v>11</v>
      </c>
      <c r="B15" s="87" t="s">
        <v>973</v>
      </c>
      <c r="C15" s="88" t="s">
        <v>721</v>
      </c>
      <c r="D15" s="88" t="s">
        <v>1047</v>
      </c>
      <c r="E15" s="88" t="s">
        <v>1002</v>
      </c>
      <c r="F15" s="88"/>
      <c r="G15" s="88"/>
      <c r="H15" s="88" t="s">
        <v>1048</v>
      </c>
      <c r="I15" s="98" t="s">
        <v>993</v>
      </c>
      <c r="J15" s="98"/>
      <c r="K15" s="98" t="s">
        <v>1011</v>
      </c>
      <c r="L15" s="98" t="s">
        <v>985</v>
      </c>
      <c r="M15" s="98"/>
      <c r="N15" s="99">
        <v>3</v>
      </c>
      <c r="O15" s="104">
        <v>200</v>
      </c>
      <c r="P15" s="392">
        <f>N15*O15</f>
        <v>600</v>
      </c>
      <c r="Q15" s="89"/>
      <c r="R15" s="89"/>
      <c r="S15" s="88" t="s">
        <v>638</v>
      </c>
      <c r="T15" s="88"/>
      <c r="U15" s="87" t="s">
        <v>1052</v>
      </c>
    </row>
    <row r="16" spans="1:21" x14ac:dyDescent="0.25">
      <c r="A16" s="86">
        <f>+A14+1</f>
        <v>6</v>
      </c>
      <c r="B16" s="87"/>
      <c r="C16" s="88"/>
      <c r="D16" s="88"/>
      <c r="E16" s="88"/>
      <c r="F16" s="88"/>
      <c r="G16" s="88"/>
      <c r="H16" s="88"/>
      <c r="I16" s="98"/>
      <c r="J16" s="98"/>
      <c r="K16" s="98"/>
      <c r="L16" s="98"/>
      <c r="M16" s="98"/>
      <c r="N16" s="99"/>
      <c r="O16" s="104"/>
      <c r="P16" s="89"/>
      <c r="Q16" s="89"/>
      <c r="R16" s="89"/>
      <c r="S16" s="88"/>
      <c r="T16" s="118"/>
      <c r="U16" s="87"/>
    </row>
    <row r="17" spans="1:21" x14ac:dyDescent="0.25">
      <c r="A17" s="86">
        <f t="shared" si="2"/>
        <v>7</v>
      </c>
      <c r="B17" s="87"/>
      <c r="C17" s="88"/>
      <c r="D17" s="88"/>
      <c r="E17" s="88"/>
      <c r="F17" s="88"/>
      <c r="G17" s="88"/>
      <c r="H17" s="88"/>
      <c r="I17" s="98"/>
      <c r="J17" s="98"/>
      <c r="K17" s="98"/>
      <c r="L17" s="98"/>
      <c r="M17" s="98"/>
      <c r="N17" s="99"/>
      <c r="O17" s="104"/>
      <c r="P17" s="89"/>
      <c r="Q17" s="89"/>
      <c r="R17" s="89"/>
      <c r="S17" s="88"/>
      <c r="T17" s="118"/>
      <c r="U17" s="88"/>
    </row>
    <row r="18" spans="1:21" x14ac:dyDescent="0.25">
      <c r="A18" s="86">
        <f t="shared" si="2"/>
        <v>8</v>
      </c>
      <c r="B18" s="87"/>
      <c r="C18" s="88"/>
      <c r="D18" s="88"/>
      <c r="E18" s="88"/>
      <c r="F18" s="88"/>
      <c r="G18" s="88"/>
      <c r="H18" s="88"/>
      <c r="I18" s="98"/>
      <c r="J18" s="98"/>
      <c r="K18" s="98"/>
      <c r="L18" s="98"/>
      <c r="M18" s="98"/>
      <c r="N18" s="99"/>
      <c r="O18" s="104"/>
      <c r="P18" s="89">
        <f t="shared" si="0"/>
        <v>0</v>
      </c>
      <c r="Q18" s="89"/>
      <c r="R18" s="89"/>
      <c r="S18" s="88"/>
      <c r="T18" s="118"/>
      <c r="U18" s="88"/>
    </row>
    <row r="19" spans="1:21" x14ac:dyDescent="0.25">
      <c r="A19" s="86">
        <f t="shared" si="2"/>
        <v>9</v>
      </c>
      <c r="B19" s="87"/>
      <c r="C19" s="88"/>
      <c r="D19" s="88"/>
      <c r="E19" s="88"/>
      <c r="F19" s="88"/>
      <c r="G19" s="88"/>
      <c r="H19" s="88"/>
      <c r="I19" s="98"/>
      <c r="J19" s="98"/>
      <c r="K19" s="98"/>
      <c r="L19" s="98"/>
      <c r="M19" s="98"/>
      <c r="N19" s="99"/>
      <c r="O19" s="104"/>
      <c r="P19" s="89">
        <f t="shared" si="0"/>
        <v>0</v>
      </c>
      <c r="Q19" s="89"/>
      <c r="R19" s="89"/>
      <c r="S19" s="88"/>
      <c r="T19" s="118"/>
      <c r="U19" s="88"/>
    </row>
    <row r="20" spans="1:21" x14ac:dyDescent="0.25">
      <c r="A20" s="86">
        <f t="shared" si="2"/>
        <v>10</v>
      </c>
      <c r="B20" s="87"/>
      <c r="C20" s="88"/>
      <c r="D20" s="88"/>
      <c r="E20" s="88"/>
      <c r="F20" s="88"/>
      <c r="G20" s="88"/>
      <c r="H20" s="88"/>
      <c r="I20" s="98"/>
      <c r="J20" s="98"/>
      <c r="K20" s="98"/>
      <c r="L20" s="98"/>
      <c r="M20" s="98"/>
      <c r="N20" s="99"/>
      <c r="O20" s="104"/>
      <c r="P20" s="89">
        <f t="shared" si="0"/>
        <v>0</v>
      </c>
      <c r="Q20" s="89"/>
      <c r="R20" s="89"/>
      <c r="S20" s="88"/>
      <c r="T20" s="118"/>
      <c r="U20" s="88"/>
    </row>
    <row r="21" spans="1:21" x14ac:dyDescent="0.25">
      <c r="A21" s="86">
        <f t="shared" si="2"/>
        <v>11</v>
      </c>
      <c r="B21" s="87"/>
      <c r="C21" s="88"/>
      <c r="D21" s="88"/>
      <c r="E21" s="88"/>
      <c r="F21" s="88"/>
      <c r="G21" s="88"/>
      <c r="H21" s="88"/>
      <c r="I21" s="98"/>
      <c r="J21" s="98"/>
      <c r="K21" s="98"/>
      <c r="L21" s="98"/>
      <c r="M21" s="98"/>
      <c r="N21" s="99"/>
      <c r="O21" s="104"/>
      <c r="P21" s="89">
        <f t="shared" si="0"/>
        <v>0</v>
      </c>
      <c r="Q21" s="89"/>
      <c r="R21" s="89"/>
      <c r="S21" s="88"/>
      <c r="T21" s="118"/>
      <c r="U21" s="88"/>
    </row>
    <row r="22" spans="1:21" x14ac:dyDescent="0.25">
      <c r="A22" s="86">
        <f t="shared" si="2"/>
        <v>12</v>
      </c>
      <c r="B22" s="87"/>
      <c r="C22" s="88"/>
      <c r="D22" s="88"/>
      <c r="E22" s="88"/>
      <c r="F22" s="88"/>
      <c r="G22" s="88"/>
      <c r="H22" s="88"/>
      <c r="I22" s="98"/>
      <c r="J22" s="98"/>
      <c r="K22" s="98"/>
      <c r="L22" s="98"/>
      <c r="M22" s="98"/>
      <c r="N22" s="99"/>
      <c r="O22" s="104"/>
      <c r="P22" s="89">
        <f t="shared" si="0"/>
        <v>0</v>
      </c>
      <c r="Q22" s="89"/>
      <c r="R22" s="89"/>
      <c r="S22" s="88"/>
      <c r="T22" s="118"/>
      <c r="U22" s="88"/>
    </row>
    <row r="23" spans="1:21" x14ac:dyDescent="0.25">
      <c r="A23" s="86">
        <f t="shared" si="2"/>
        <v>13</v>
      </c>
      <c r="B23" s="87"/>
      <c r="C23" s="88"/>
      <c r="D23" s="88"/>
      <c r="E23" s="88"/>
      <c r="F23" s="88"/>
      <c r="G23" s="88"/>
      <c r="H23" s="88"/>
      <c r="I23" s="98"/>
      <c r="J23" s="98"/>
      <c r="K23" s="98"/>
      <c r="L23" s="98"/>
      <c r="M23" s="98"/>
      <c r="N23" s="99"/>
      <c r="O23" s="104"/>
      <c r="P23" s="89">
        <f t="shared" si="0"/>
        <v>0</v>
      </c>
      <c r="Q23" s="89"/>
      <c r="R23" s="89"/>
      <c r="S23" s="88"/>
      <c r="T23" s="118"/>
      <c r="U23" s="88"/>
    </row>
    <row r="24" spans="1:21" x14ac:dyDescent="0.25">
      <c r="A24" s="86">
        <f t="shared" si="2"/>
        <v>14</v>
      </c>
      <c r="B24" s="87"/>
      <c r="C24" s="88"/>
      <c r="D24" s="88"/>
      <c r="E24" s="88"/>
      <c r="F24" s="88"/>
      <c r="G24" s="88"/>
      <c r="H24" s="88"/>
      <c r="I24" s="98"/>
      <c r="J24" s="98"/>
      <c r="K24" s="98"/>
      <c r="L24" s="98"/>
      <c r="M24" s="98"/>
      <c r="N24" s="99"/>
      <c r="O24" s="104"/>
      <c r="P24" s="89">
        <f t="shared" si="0"/>
        <v>0</v>
      </c>
      <c r="Q24" s="89"/>
      <c r="R24" s="89"/>
      <c r="S24" s="88"/>
      <c r="T24" s="118"/>
      <c r="U24" s="88"/>
    </row>
    <row r="25" spans="1:21" x14ac:dyDescent="0.25">
      <c r="A25" s="86">
        <f t="shared" si="2"/>
        <v>15</v>
      </c>
      <c r="B25" s="87"/>
      <c r="C25" s="88"/>
      <c r="D25" s="88"/>
      <c r="E25" s="88"/>
      <c r="F25" s="88"/>
      <c r="G25" s="88"/>
      <c r="H25" s="88"/>
      <c r="I25" s="98"/>
      <c r="J25" s="98"/>
      <c r="K25" s="98"/>
      <c r="L25" s="98"/>
      <c r="M25" s="98"/>
      <c r="N25" s="99"/>
      <c r="O25" s="104"/>
      <c r="P25" s="89">
        <f t="shared" si="0"/>
        <v>0</v>
      </c>
      <c r="Q25" s="89"/>
      <c r="R25" s="89"/>
      <c r="S25" s="88"/>
      <c r="T25" s="118"/>
      <c r="U25" s="88"/>
    </row>
    <row r="26" spans="1:21" x14ac:dyDescent="0.25">
      <c r="A26" s="86">
        <f t="shared" si="2"/>
        <v>16</v>
      </c>
      <c r="B26" s="87"/>
      <c r="C26" s="88"/>
      <c r="D26" s="88"/>
      <c r="E26" s="88"/>
      <c r="F26" s="88"/>
      <c r="G26" s="88"/>
      <c r="H26" s="88"/>
      <c r="I26" s="98"/>
      <c r="J26" s="98"/>
      <c r="K26" s="98"/>
      <c r="L26" s="98"/>
      <c r="M26" s="98"/>
      <c r="N26" s="99"/>
      <c r="O26" s="104"/>
      <c r="P26" s="89">
        <f t="shared" si="0"/>
        <v>0</v>
      </c>
      <c r="Q26" s="89"/>
      <c r="R26" s="89"/>
      <c r="S26" s="88"/>
      <c r="T26" s="118"/>
      <c r="U26" s="88"/>
    </row>
    <row r="27" spans="1:21" x14ac:dyDescent="0.25">
      <c r="A27" s="86">
        <f t="shared" si="2"/>
        <v>17</v>
      </c>
      <c r="B27" s="87"/>
      <c r="C27" s="88"/>
      <c r="D27" s="88"/>
      <c r="E27" s="88"/>
      <c r="F27" s="88"/>
      <c r="G27" s="88"/>
      <c r="H27" s="88"/>
      <c r="I27" s="98"/>
      <c r="J27" s="98"/>
      <c r="K27" s="98"/>
      <c r="L27" s="98"/>
      <c r="M27" s="98"/>
      <c r="N27" s="99"/>
      <c r="O27" s="104"/>
      <c r="P27" s="89">
        <f t="shared" si="0"/>
        <v>0</v>
      </c>
      <c r="Q27" s="89"/>
      <c r="R27" s="89"/>
      <c r="S27" s="88"/>
      <c r="T27" s="118"/>
      <c r="U27" s="88"/>
    </row>
    <row r="28" spans="1:21" x14ac:dyDescent="0.25">
      <c r="A28" s="86">
        <f t="shared" si="2"/>
        <v>18</v>
      </c>
      <c r="B28" s="87"/>
      <c r="C28" s="88"/>
      <c r="D28" s="88"/>
      <c r="E28" s="88"/>
      <c r="F28" s="88"/>
      <c r="G28" s="88"/>
      <c r="H28" s="88"/>
      <c r="I28" s="98"/>
      <c r="J28" s="98"/>
      <c r="K28" s="98"/>
      <c r="L28" s="98"/>
      <c r="M28" s="98"/>
      <c r="N28" s="99"/>
      <c r="O28" s="104"/>
      <c r="P28" s="89">
        <f t="shared" si="0"/>
        <v>0</v>
      </c>
      <c r="Q28" s="89"/>
      <c r="R28" s="89"/>
      <c r="S28" s="88"/>
      <c r="T28" s="118"/>
      <c r="U28" s="88"/>
    </row>
    <row r="29" spans="1:21" x14ac:dyDescent="0.25">
      <c r="A29" s="86">
        <f t="shared" si="2"/>
        <v>19</v>
      </c>
      <c r="B29" s="87"/>
      <c r="C29" s="88"/>
      <c r="D29" s="88"/>
      <c r="E29" s="88"/>
      <c r="F29" s="88"/>
      <c r="G29" s="88"/>
      <c r="H29" s="88"/>
      <c r="I29" s="98"/>
      <c r="J29" s="98"/>
      <c r="K29" s="98"/>
      <c r="L29" s="98"/>
      <c r="M29" s="98"/>
      <c r="N29" s="99"/>
      <c r="O29" s="104"/>
      <c r="P29" s="89">
        <f t="shared" si="0"/>
        <v>0</v>
      </c>
      <c r="Q29" s="89"/>
      <c r="R29" s="89"/>
      <c r="S29" s="88"/>
      <c r="T29" s="118"/>
      <c r="U29" s="88"/>
    </row>
    <row r="30" spans="1:21" x14ac:dyDescent="0.25">
      <c r="A30" s="86">
        <f t="shared" si="2"/>
        <v>20</v>
      </c>
      <c r="B30" s="87"/>
      <c r="C30" s="88"/>
      <c r="D30" s="88"/>
      <c r="E30" s="88"/>
      <c r="F30" s="88"/>
      <c r="G30" s="88"/>
      <c r="H30" s="88"/>
      <c r="I30" s="98"/>
      <c r="J30" s="98"/>
      <c r="K30" s="98"/>
      <c r="L30" s="98"/>
      <c r="M30" s="98"/>
      <c r="N30" s="99"/>
      <c r="O30" s="104"/>
      <c r="P30" s="89">
        <f t="shared" si="0"/>
        <v>0</v>
      </c>
      <c r="Q30" s="89"/>
      <c r="R30" s="89"/>
      <c r="S30" s="88"/>
      <c r="T30" s="118"/>
      <c r="U30" s="88"/>
    </row>
    <row r="31" spans="1:21" ht="16.5" thickBot="1" x14ac:dyDescent="0.3">
      <c r="A31" s="90" t="s">
        <v>682</v>
      </c>
      <c r="B31" s="90"/>
      <c r="C31" s="91"/>
      <c r="D31" s="91"/>
      <c r="E31" s="91"/>
      <c r="F31" s="91"/>
      <c r="G31" s="91"/>
      <c r="H31" s="91"/>
      <c r="I31" s="100"/>
      <c r="J31" s="100"/>
      <c r="K31" s="100"/>
      <c r="L31" s="100"/>
      <c r="M31" s="100"/>
      <c r="N31" s="101"/>
      <c r="O31" s="105"/>
      <c r="P31" s="92">
        <f>SUM(P10:P30)</f>
        <v>3575</v>
      </c>
      <c r="Q31" s="92">
        <f>SUM(Q10:Q30)</f>
        <v>600</v>
      </c>
      <c r="R31" s="92">
        <f>SUM(R10:R30)</f>
        <v>0</v>
      </c>
      <c r="S31" s="88"/>
      <c r="T31" s="92">
        <f>SUM(T10:T30)</f>
        <v>0</v>
      </c>
      <c r="U31" s="88"/>
    </row>
    <row r="32" spans="1:21" ht="18" customHeight="1" thickTop="1" x14ac:dyDescent="0.25"/>
    <row r="33" spans="16:18" x14ac:dyDescent="0.25">
      <c r="P33" s="393">
        <f>SUM(P15)</f>
        <v>600</v>
      </c>
      <c r="Q33" s="395" t="s">
        <v>1143</v>
      </c>
      <c r="R33" s="396"/>
    </row>
  </sheetData>
  <mergeCells count="7">
    <mergeCell ref="A8:U8"/>
    <mergeCell ref="A1:U1"/>
    <mergeCell ref="A2:U2"/>
    <mergeCell ref="A3:U3"/>
    <mergeCell ref="A4:H4"/>
    <mergeCell ref="A5:U5"/>
    <mergeCell ref="A7:U7"/>
  </mergeCells>
  <dataValidations count="3">
    <dataValidation type="list" allowBlank="1" showInputMessage="1" showErrorMessage="1" sqref="S10:S30">
      <formula1>"Academic Excellence, Community Engagement, Enrollment, Increased Revenue, Safety"</formula1>
    </dataValidation>
    <dataValidation type="list" allowBlank="1" showInputMessage="1" showErrorMessage="1" sqref="K10:L30">
      <formula1>"Low, Medium, High"</formula1>
    </dataValidation>
    <dataValidation type="list" allowBlank="1" showInputMessage="1" showErrorMessage="1" sqref="I10:I30">
      <formula1>"Replace, Unmet Need"</formula1>
    </dataValidation>
  </dataValidations>
  <hyperlinks>
    <hyperlink ref="A5:U5" r:id="rId1" display="&gt; Instructor Workstations, projectors, projector screens, Clickshares, televisions, audio systems and other audio visual related equipment please submit this form “https://form.jotform.com/73025596788976 ”   and you may contact Chad Valk in the Media Cent"/>
    <hyperlink ref="A4:H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A7:U7" r:id="rId4" display="&gt; If the Capital Equipment request is tied to a Revovation, please ensure you include a Capital Projects and Space Planning Request form that can be found here “http://www.ccsu.edu/facilitiesmanagement/forms”  . You may contact Facilities with any q"/>
  </hyperlinks>
  <pageMargins left="0.7" right="0.7" top="0.75" bottom="0.75" header="0.3" footer="0.3"/>
  <pageSetup paperSize="17" scale="57" orientation="landscape" r:id="rId5"/>
  <headerFooter>
    <oddFooter>&amp;Lprinted &amp;D&amp;T&amp;C&amp;Z&amp;F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topLeftCell="A4" zoomScaleNormal="100" workbookViewId="0">
      <selection activeCell="D6" sqref="D6"/>
    </sheetView>
  </sheetViews>
  <sheetFormatPr defaultColWidth="9.140625" defaultRowHeight="18.75" x14ac:dyDescent="0.3"/>
  <cols>
    <col min="1" max="3" width="23.5703125" style="120" customWidth="1"/>
    <col min="4" max="4" width="65.5703125" style="127" customWidth="1"/>
    <col min="5" max="5" width="23.5703125" style="120" customWidth="1"/>
    <col min="6" max="6" width="38.7109375" style="128" customWidth="1"/>
    <col min="7" max="7" width="84.28515625" style="128" customWidth="1"/>
    <col min="8" max="16384" width="9.140625" style="120"/>
  </cols>
  <sheetData>
    <row r="1" spans="1:7" x14ac:dyDescent="0.3">
      <c r="A1" s="429" t="s">
        <v>766</v>
      </c>
      <c r="B1" s="429"/>
      <c r="C1" s="429"/>
      <c r="D1" s="429"/>
      <c r="E1" s="429"/>
      <c r="F1" s="429"/>
      <c r="G1" s="429"/>
    </row>
    <row r="3" spans="1:7" ht="55.5" customHeight="1" x14ac:dyDescent="0.3">
      <c r="A3" s="430" t="s">
        <v>769</v>
      </c>
      <c r="B3" s="430"/>
      <c r="C3" s="430"/>
      <c r="D3" s="430"/>
      <c r="E3" s="430"/>
      <c r="F3" s="430"/>
      <c r="G3" s="430"/>
    </row>
    <row r="5" spans="1:7" s="123" customFormat="1" ht="131.25" x14ac:dyDescent="0.3">
      <c r="A5" s="121" t="s">
        <v>739</v>
      </c>
      <c r="B5" s="121" t="s">
        <v>740</v>
      </c>
      <c r="C5" s="121" t="s">
        <v>770</v>
      </c>
      <c r="D5" s="121" t="s">
        <v>768</v>
      </c>
      <c r="E5" s="121" t="s">
        <v>752</v>
      </c>
      <c r="F5" s="122" t="s">
        <v>741</v>
      </c>
      <c r="G5" s="122" t="s">
        <v>767</v>
      </c>
    </row>
    <row r="6" spans="1:7" ht="117.75" customHeight="1" x14ac:dyDescent="0.3">
      <c r="A6" s="125" t="s">
        <v>1124</v>
      </c>
      <c r="B6" s="125" t="s">
        <v>821</v>
      </c>
      <c r="C6" s="124"/>
      <c r="D6" s="125" t="s">
        <v>1132</v>
      </c>
      <c r="E6" s="124"/>
      <c r="F6" s="365" t="s">
        <v>1123</v>
      </c>
      <c r="G6" s="126"/>
    </row>
    <row r="7" spans="1:7" ht="337.5" x14ac:dyDescent="0.3">
      <c r="A7" s="124" t="s">
        <v>1125</v>
      </c>
      <c r="B7" s="125" t="s">
        <v>1126</v>
      </c>
      <c r="C7" s="124"/>
      <c r="D7" s="125" t="s">
        <v>1127</v>
      </c>
      <c r="E7" s="125" t="s">
        <v>1128</v>
      </c>
      <c r="F7" s="365" t="s">
        <v>1129</v>
      </c>
      <c r="G7" s="126"/>
    </row>
    <row r="8" spans="1:7" ht="117.75" customHeight="1" x14ac:dyDescent="0.3">
      <c r="A8" s="124"/>
      <c r="B8" s="124"/>
      <c r="C8" s="124"/>
      <c r="D8" s="125"/>
      <c r="E8" s="124"/>
      <c r="F8" s="126"/>
      <c r="G8" s="126"/>
    </row>
    <row r="9" spans="1:7" ht="117.75" customHeight="1" x14ac:dyDescent="0.3">
      <c r="A9" s="124"/>
      <c r="B9" s="124"/>
      <c r="C9" s="124"/>
      <c r="D9" s="125"/>
      <c r="E9" s="124"/>
      <c r="F9" s="126"/>
      <c r="G9" s="126"/>
    </row>
    <row r="10" spans="1:7" ht="117.75" customHeight="1" x14ac:dyDescent="0.3">
      <c r="A10" s="124"/>
      <c r="B10" s="124"/>
      <c r="C10" s="124"/>
      <c r="D10" s="125"/>
      <c r="E10" s="124"/>
      <c r="F10" s="126"/>
      <c r="G10" s="126"/>
    </row>
    <row r="11" spans="1:7" ht="117.75" customHeight="1" x14ac:dyDescent="0.3">
      <c r="A11" s="124"/>
      <c r="B11" s="124"/>
      <c r="C11" s="124"/>
      <c r="D11" s="125"/>
      <c r="E11" s="124"/>
      <c r="F11" s="126"/>
      <c r="G11" s="126"/>
    </row>
    <row r="12" spans="1:7" ht="117.75" customHeight="1" x14ac:dyDescent="0.3">
      <c r="A12" s="124"/>
      <c r="B12" s="124"/>
      <c r="C12" s="124"/>
      <c r="D12" s="125"/>
      <c r="E12" s="124"/>
      <c r="F12" s="126"/>
      <c r="G12" s="126"/>
    </row>
    <row r="13" spans="1:7" ht="117.75" customHeight="1" x14ac:dyDescent="0.3">
      <c r="A13" s="124"/>
      <c r="B13" s="124"/>
      <c r="C13" s="124"/>
      <c r="D13" s="125"/>
      <c r="E13" s="124"/>
      <c r="F13" s="126"/>
      <c r="G13" s="126"/>
    </row>
    <row r="14" spans="1:7" ht="117.75" customHeight="1" x14ac:dyDescent="0.3">
      <c r="A14" s="124"/>
      <c r="B14" s="124"/>
      <c r="C14" s="124"/>
      <c r="D14" s="125"/>
      <c r="E14" s="124"/>
      <c r="F14" s="126"/>
      <c r="G14" s="126"/>
    </row>
    <row r="15" spans="1:7" ht="117.75" customHeight="1" x14ac:dyDescent="0.3">
      <c r="A15" s="124"/>
      <c r="B15" s="124"/>
      <c r="C15" s="124"/>
      <c r="D15" s="125"/>
      <c r="E15" s="124"/>
      <c r="F15" s="126"/>
      <c r="G15" s="126"/>
    </row>
    <row r="16" spans="1:7" ht="38.25" customHeight="1" x14ac:dyDescent="0.3"/>
    <row r="17" ht="38.25" customHeight="1" x14ac:dyDescent="0.3"/>
  </sheetData>
  <mergeCells count="2">
    <mergeCell ref="A1:G1"/>
    <mergeCell ref="A3:G3"/>
  </mergeCells>
  <pageMargins left="0.45" right="0.45" top="0.5" bottom="0.5" header="0.05" footer="0.3"/>
  <pageSetup scale="45" fitToHeight="2" orientation="landscape" r:id="rId1"/>
  <headerFooter>
    <oddFooter>&amp;LPRINTED &amp;D&amp;T&amp;C&amp;Z&amp;F</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
  <sheetViews>
    <sheetView view="pageLayout" zoomScaleNormal="100" workbookViewId="0">
      <selection activeCell="A2" sqref="A2"/>
    </sheetView>
  </sheetViews>
  <sheetFormatPr defaultRowHeight="15" x14ac:dyDescent="0.25"/>
  <sheetData>
    <row r="2" spans="1:1" x14ac:dyDescent="0.25">
      <c r="A2" t="s">
        <v>634</v>
      </c>
    </row>
  </sheetData>
  <pageMargins left="0.7" right="0.7" top="0.75" bottom="0.75" header="0.3" footer="0.3"/>
  <pageSetup orientation="portrait" horizontalDpi="1200" verticalDpi="1200" r:id="rId1"/>
  <headerFooter>
    <oddHeader>&amp;C&amp;"Calibri,Bold"&amp;A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E15"/>
  <sheetViews>
    <sheetView showGridLines="0" zoomScaleNormal="100" workbookViewId="0">
      <selection activeCell="C21" sqref="C21"/>
    </sheetView>
  </sheetViews>
  <sheetFormatPr defaultColWidth="9.140625" defaultRowHeight="15.75" x14ac:dyDescent="0.25"/>
  <cols>
    <col min="1" max="1" width="48.28515625" style="85" customWidth="1"/>
    <col min="2" max="2" width="30.5703125" style="85" customWidth="1"/>
    <col min="3" max="3" width="30.42578125" style="85" customWidth="1"/>
    <col min="4" max="4" width="30.28515625" style="85" customWidth="1"/>
    <col min="5" max="5" width="27.28515625" style="85" customWidth="1"/>
    <col min="6" max="16384" width="9.140625" style="85"/>
  </cols>
  <sheetData>
    <row r="1" spans="1:5" x14ac:dyDescent="0.25">
      <c r="A1" s="161" t="s">
        <v>780</v>
      </c>
    </row>
    <row r="2" spans="1:5" ht="46.5" customHeight="1" x14ac:dyDescent="0.25">
      <c r="A2" s="399" t="s">
        <v>720</v>
      </c>
      <c r="B2" s="399"/>
      <c r="C2" s="399"/>
      <c r="D2" s="399"/>
      <c r="E2" s="399"/>
    </row>
    <row r="3" spans="1:5" ht="16.5" thickBot="1" x14ac:dyDescent="0.3">
      <c r="A3" s="161" t="s">
        <v>721</v>
      </c>
    </row>
    <row r="4" spans="1:5" ht="14.25" customHeight="1" x14ac:dyDescent="0.25">
      <c r="A4" s="400"/>
      <c r="B4" s="401"/>
      <c r="C4" s="401"/>
      <c r="D4" s="401"/>
      <c r="E4" s="402"/>
    </row>
    <row r="5" spans="1:5" ht="36" customHeight="1" x14ac:dyDescent="0.25">
      <c r="A5" s="162"/>
      <c r="B5" s="160" t="s">
        <v>636</v>
      </c>
      <c r="C5" s="160" t="s">
        <v>637</v>
      </c>
      <c r="D5" s="160" t="s">
        <v>640</v>
      </c>
      <c r="E5" s="159" t="s">
        <v>722</v>
      </c>
    </row>
    <row r="6" spans="1:5" x14ac:dyDescent="0.25">
      <c r="A6" s="235" t="s">
        <v>723</v>
      </c>
      <c r="B6" s="236"/>
      <c r="C6" s="236"/>
      <c r="D6" s="236"/>
      <c r="E6" s="237"/>
    </row>
    <row r="7" spans="1:5" ht="31.5" x14ac:dyDescent="0.25">
      <c r="A7" s="238" t="s">
        <v>724</v>
      </c>
      <c r="B7" s="224">
        <v>12</v>
      </c>
      <c r="C7" s="224">
        <v>12</v>
      </c>
      <c r="D7" s="224">
        <v>19</v>
      </c>
      <c r="E7" s="239">
        <v>28</v>
      </c>
    </row>
    <row r="8" spans="1:5" x14ac:dyDescent="0.25">
      <c r="A8" s="163" t="s">
        <v>725</v>
      </c>
      <c r="B8" s="351">
        <v>39759</v>
      </c>
      <c r="C8" s="351">
        <v>44109</v>
      </c>
      <c r="D8" s="351">
        <v>45037</v>
      </c>
      <c r="E8" s="352">
        <v>41976</v>
      </c>
    </row>
    <row r="9" spans="1:5" ht="31.5" x14ac:dyDescent="0.25">
      <c r="A9" s="163" t="s">
        <v>726</v>
      </c>
      <c r="B9" s="162">
        <v>6</v>
      </c>
      <c r="C9" s="162">
        <v>7</v>
      </c>
      <c r="D9" s="162">
        <v>7</v>
      </c>
      <c r="E9" s="240">
        <v>7</v>
      </c>
    </row>
    <row r="10" spans="1:5" ht="31.5" x14ac:dyDescent="0.25">
      <c r="A10" s="163" t="s">
        <v>727</v>
      </c>
      <c r="B10" s="162"/>
      <c r="C10" s="162"/>
      <c r="D10" s="162"/>
      <c r="E10" s="240"/>
    </row>
    <row r="11" spans="1:5" ht="31.5" x14ac:dyDescent="0.25">
      <c r="A11" s="163" t="s">
        <v>728</v>
      </c>
      <c r="B11" s="162">
        <v>25</v>
      </c>
      <c r="C11" s="162">
        <v>26</v>
      </c>
      <c r="D11" s="162">
        <v>28</v>
      </c>
      <c r="E11" s="240">
        <v>31</v>
      </c>
    </row>
    <row r="12" spans="1:5" x14ac:dyDescent="0.25">
      <c r="A12" s="163" t="s">
        <v>729</v>
      </c>
      <c r="B12" s="162">
        <v>28.3</v>
      </c>
      <c r="C12" s="162">
        <v>27.7</v>
      </c>
      <c r="D12" s="162">
        <v>26.4</v>
      </c>
      <c r="E12" s="240">
        <v>21</v>
      </c>
    </row>
    <row r="13" spans="1:5" x14ac:dyDescent="0.25">
      <c r="A13" s="235" t="s">
        <v>730</v>
      </c>
      <c r="B13" s="236"/>
      <c r="C13" s="236"/>
      <c r="D13" s="236"/>
      <c r="E13" s="237"/>
    </row>
    <row r="14" spans="1:5" x14ac:dyDescent="0.25">
      <c r="A14" s="238" t="s">
        <v>731</v>
      </c>
      <c r="B14" s="224">
        <v>84.1</v>
      </c>
      <c r="C14" s="224">
        <v>75</v>
      </c>
      <c r="D14" s="224">
        <v>73.2</v>
      </c>
      <c r="E14" s="239">
        <v>79.8</v>
      </c>
    </row>
    <row r="15" spans="1:5" x14ac:dyDescent="0.25">
      <c r="A15" s="163" t="s">
        <v>732</v>
      </c>
      <c r="B15" s="162">
        <v>972</v>
      </c>
      <c r="C15" s="162">
        <v>976</v>
      </c>
      <c r="D15" s="162">
        <v>983</v>
      </c>
      <c r="E15" s="240">
        <v>972</v>
      </c>
    </row>
  </sheetData>
  <mergeCells count="2">
    <mergeCell ref="A2:E2"/>
    <mergeCell ref="A4:E4"/>
  </mergeCells>
  <pageMargins left="0.7" right="0.7" top="0.75" bottom="0.75" header="0.3" footer="0.3"/>
  <pageSetup paperSize="5" scale="96" orientation="landscape" r:id="rId1"/>
  <headerFooter>
    <oddHeader>&amp;C&amp;"Calibri,Bold"&amp;A</oddHeader>
    <oddFooter>&amp;Rprinted:  &amp;D&amp;T</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8"/>
  <sheetViews>
    <sheetView workbookViewId="0">
      <selection activeCell="H40" sqref="H40"/>
    </sheetView>
  </sheetViews>
  <sheetFormatPr defaultColWidth="9.140625" defaultRowHeight="12.75" x14ac:dyDescent="0.2"/>
  <cols>
    <col min="1" max="1" width="11.85546875" style="59" customWidth="1"/>
    <col min="2" max="2" width="6.7109375" style="60" customWidth="1"/>
    <col min="3" max="3" width="10.28515625" style="60" customWidth="1"/>
    <col min="4" max="4" width="1.7109375" style="60" customWidth="1"/>
    <col min="5" max="5" width="38.140625" style="59" customWidth="1"/>
    <col min="6" max="6" width="1.5703125" style="62" customWidth="1"/>
    <col min="7" max="7" width="7" style="71" customWidth="1"/>
    <col min="8" max="8" width="8.5703125" style="69" bestFit="1" customWidth="1"/>
    <col min="9" max="9" width="1.42578125" style="62" customWidth="1"/>
    <col min="10" max="10" width="10.7109375" style="66" bestFit="1" customWidth="1"/>
    <col min="11" max="11" width="1.42578125" style="63" customWidth="1"/>
    <col min="12" max="12" width="10.7109375" style="68" bestFit="1" customWidth="1"/>
    <col min="13" max="13" width="1.42578125" style="63" customWidth="1"/>
    <col min="14" max="14" width="10.7109375" style="73" bestFit="1" customWidth="1"/>
    <col min="15" max="15" width="1.85546875" style="64" customWidth="1"/>
    <col min="16" max="16" width="10.7109375" style="73" bestFit="1" customWidth="1"/>
    <col min="17" max="17" width="1.85546875" style="64" customWidth="1"/>
    <col min="18" max="18" width="24.7109375" style="70" customWidth="1"/>
    <col min="19" max="19" width="2.140625" style="59" customWidth="1"/>
    <col min="20" max="16384" width="9.140625" style="59"/>
  </cols>
  <sheetData>
    <row r="1" spans="1:19" s="3" customFormat="1" ht="15" x14ac:dyDescent="0.25">
      <c r="B1" s="4"/>
      <c r="C1" s="4"/>
      <c r="D1" s="4"/>
      <c r="F1" s="5"/>
      <c r="G1" s="6"/>
      <c r="H1" s="7"/>
      <c r="I1" s="5"/>
      <c r="J1" s="8"/>
      <c r="K1" s="5" t="s">
        <v>24</v>
      </c>
      <c r="L1" s="9"/>
      <c r="M1" s="10"/>
      <c r="N1" s="11"/>
      <c r="O1" s="12"/>
      <c r="P1" s="11"/>
      <c r="Q1" s="12"/>
      <c r="R1" s="13"/>
    </row>
    <row r="2" spans="1:19" s="3" customFormat="1" ht="15" x14ac:dyDescent="0.25">
      <c r="B2" s="4"/>
      <c r="C2" s="4"/>
      <c r="D2" s="4"/>
      <c r="F2" s="5"/>
      <c r="G2" s="6"/>
      <c r="H2" s="7"/>
      <c r="I2" s="5"/>
      <c r="J2" s="8"/>
      <c r="K2" s="5" t="s">
        <v>25</v>
      </c>
      <c r="L2" s="9"/>
      <c r="M2" s="10"/>
      <c r="N2" s="11"/>
      <c r="O2" s="12"/>
      <c r="P2" s="11"/>
      <c r="Q2" s="12"/>
      <c r="R2" s="13"/>
    </row>
    <row r="3" spans="1:19" s="3" customFormat="1" ht="15" x14ac:dyDescent="0.25">
      <c r="B3" s="4"/>
      <c r="C3" s="4"/>
      <c r="D3" s="4"/>
      <c r="F3" s="5"/>
      <c r="G3" s="6"/>
      <c r="H3" s="7"/>
      <c r="I3" s="5"/>
      <c r="J3" s="8"/>
      <c r="K3" s="10"/>
      <c r="L3" s="9"/>
      <c r="M3" s="10"/>
      <c r="N3" s="11"/>
      <c r="O3" s="12"/>
      <c r="P3" s="11"/>
      <c r="Q3" s="12"/>
      <c r="R3" s="13"/>
    </row>
    <row r="4" spans="1:19" s="14" customFormat="1" ht="18" x14ac:dyDescent="0.25">
      <c r="B4" s="15"/>
      <c r="C4" s="15"/>
      <c r="D4" s="15"/>
      <c r="E4" s="16" t="s">
        <v>26</v>
      </c>
      <c r="F4" s="17"/>
      <c r="G4" s="18"/>
      <c r="H4" s="19"/>
      <c r="I4" s="17"/>
      <c r="J4" s="20"/>
      <c r="K4" s="21" t="s">
        <v>27</v>
      </c>
      <c r="L4" s="22"/>
      <c r="M4" s="23"/>
      <c r="N4" s="24"/>
      <c r="O4" s="25"/>
      <c r="P4" s="24"/>
      <c r="Q4" s="25"/>
      <c r="R4" s="26"/>
    </row>
    <row r="6" spans="1:19" s="35" customFormat="1" ht="39" thickBot="1" x14ac:dyDescent="0.25">
      <c r="A6" s="27" t="s">
        <v>28</v>
      </c>
      <c r="B6" s="28" t="s">
        <v>29</v>
      </c>
      <c r="C6" s="29" t="s">
        <v>30</v>
      </c>
      <c r="D6" s="29"/>
      <c r="E6" s="29" t="s">
        <v>31</v>
      </c>
      <c r="F6" s="30"/>
      <c r="G6" s="31" t="s">
        <v>32</v>
      </c>
      <c r="H6" s="32" t="s">
        <v>33</v>
      </c>
      <c r="I6" s="30"/>
      <c r="J6" s="32" t="s">
        <v>34</v>
      </c>
      <c r="K6" s="30"/>
      <c r="L6" s="32" t="s">
        <v>35</v>
      </c>
      <c r="M6" s="30"/>
      <c r="N6" s="30" t="s">
        <v>36</v>
      </c>
      <c r="O6" s="33"/>
      <c r="P6" s="30" t="s">
        <v>37</v>
      </c>
      <c r="Q6" s="33"/>
      <c r="R6" s="34" t="s">
        <v>38</v>
      </c>
    </row>
    <row r="7" spans="1:19" s="35" customFormat="1" x14ac:dyDescent="0.2">
      <c r="B7" s="36"/>
      <c r="C7" s="36"/>
      <c r="D7" s="36"/>
      <c r="E7" s="36"/>
      <c r="F7" s="37"/>
      <c r="G7" s="18"/>
      <c r="H7" s="20"/>
      <c r="I7" s="37"/>
      <c r="J7" s="38"/>
      <c r="K7" s="37"/>
      <c r="L7" s="38"/>
      <c r="M7" s="37"/>
      <c r="N7" s="37"/>
      <c r="O7" s="39"/>
      <c r="P7" s="37"/>
      <c r="Q7" s="39"/>
      <c r="R7" s="40"/>
    </row>
    <row r="8" spans="1:19" s="41" customFormat="1" x14ac:dyDescent="0.25">
      <c r="B8" s="42"/>
      <c r="C8" s="43"/>
      <c r="D8" s="43"/>
      <c r="E8" s="44"/>
      <c r="F8" s="45"/>
      <c r="G8" s="46"/>
      <c r="H8" s="47"/>
      <c r="I8" s="45"/>
      <c r="J8" s="48"/>
      <c r="K8" s="49"/>
      <c r="L8" s="47"/>
      <c r="M8" s="49"/>
      <c r="N8" s="45"/>
      <c r="O8" s="50"/>
      <c r="P8" s="45"/>
      <c r="Q8" s="50"/>
      <c r="R8" s="51"/>
      <c r="S8" s="52"/>
    </row>
    <row r="9" spans="1:19" s="41" customFormat="1" x14ac:dyDescent="0.2">
      <c r="B9" s="53" t="s">
        <v>39</v>
      </c>
      <c r="C9" s="54"/>
      <c r="D9" s="43"/>
      <c r="E9" s="55"/>
      <c r="F9" s="45"/>
      <c r="G9" s="46"/>
      <c r="H9" s="56"/>
      <c r="I9" s="45"/>
      <c r="J9" s="56"/>
      <c r="K9" s="56"/>
      <c r="L9" s="56"/>
      <c r="M9" s="49"/>
      <c r="N9" s="56">
        <f>J9+L9</f>
        <v>0</v>
      </c>
      <c r="O9" s="50"/>
      <c r="P9" s="57">
        <f>N9</f>
        <v>0</v>
      </c>
      <c r="Q9" s="50"/>
      <c r="R9" s="58"/>
      <c r="S9" s="52"/>
    </row>
    <row r="10" spans="1:19" x14ac:dyDescent="0.2">
      <c r="B10" s="53" t="s">
        <v>40</v>
      </c>
      <c r="C10" s="54"/>
      <c r="E10" s="61"/>
      <c r="G10" s="46"/>
      <c r="H10" s="56"/>
      <c r="J10" s="56"/>
      <c r="K10" s="56"/>
      <c r="L10" s="56"/>
      <c r="N10" s="56">
        <f t="shared" ref="N10:N26" si="0">J10+L10</f>
        <v>0</v>
      </c>
      <c r="P10" s="57">
        <f>P9+N10</f>
        <v>0</v>
      </c>
      <c r="R10" s="58"/>
    </row>
    <row r="11" spans="1:19" x14ac:dyDescent="0.2">
      <c r="B11" s="53" t="s">
        <v>41</v>
      </c>
      <c r="C11" s="54"/>
      <c r="E11" s="65"/>
      <c r="G11" s="46"/>
      <c r="H11" s="56"/>
      <c r="J11" s="56"/>
      <c r="K11" s="56"/>
      <c r="L11" s="56"/>
      <c r="N11" s="56">
        <f t="shared" si="0"/>
        <v>0</v>
      </c>
      <c r="P11" s="57">
        <f t="shared" ref="P11:P26" si="1">P10+N11</f>
        <v>0</v>
      </c>
      <c r="R11" s="58"/>
    </row>
    <row r="12" spans="1:19" x14ac:dyDescent="0.2">
      <c r="B12" s="53" t="s">
        <v>42</v>
      </c>
      <c r="C12" s="54"/>
      <c r="E12" s="61"/>
      <c r="G12" s="46"/>
      <c r="H12" s="56"/>
      <c r="J12" s="56"/>
      <c r="K12" s="56"/>
      <c r="L12" s="56"/>
      <c r="N12" s="56">
        <f t="shared" si="0"/>
        <v>0</v>
      </c>
      <c r="P12" s="57">
        <f t="shared" si="1"/>
        <v>0</v>
      </c>
      <c r="R12" s="58"/>
    </row>
    <row r="13" spans="1:19" x14ac:dyDescent="0.2">
      <c r="B13" s="53" t="s">
        <v>43</v>
      </c>
      <c r="C13" s="54"/>
      <c r="E13" s="61"/>
      <c r="G13" s="46"/>
      <c r="H13" s="56"/>
      <c r="J13" s="56"/>
      <c r="K13" s="56"/>
      <c r="L13" s="56"/>
      <c r="N13" s="56">
        <f t="shared" si="0"/>
        <v>0</v>
      </c>
      <c r="P13" s="57">
        <f t="shared" si="1"/>
        <v>0</v>
      </c>
      <c r="R13" s="58"/>
    </row>
    <row r="14" spans="1:19" x14ac:dyDescent="0.2">
      <c r="B14" s="53" t="s">
        <v>44</v>
      </c>
      <c r="C14" s="54"/>
      <c r="E14" s="65"/>
      <c r="G14" s="46"/>
      <c r="H14" s="56"/>
      <c r="J14" s="57"/>
      <c r="K14" s="57"/>
      <c r="L14" s="56"/>
      <c r="N14" s="56">
        <f t="shared" si="0"/>
        <v>0</v>
      </c>
      <c r="P14" s="57">
        <f t="shared" si="1"/>
        <v>0</v>
      </c>
      <c r="R14" s="58"/>
    </row>
    <row r="15" spans="1:19" x14ac:dyDescent="0.2">
      <c r="B15" s="53" t="s">
        <v>45</v>
      </c>
      <c r="C15" s="54"/>
      <c r="E15" s="61"/>
      <c r="G15" s="46"/>
      <c r="H15" s="56"/>
      <c r="J15" s="56"/>
      <c r="K15" s="56"/>
      <c r="L15" s="56"/>
      <c r="N15" s="56">
        <f t="shared" si="0"/>
        <v>0</v>
      </c>
      <c r="P15" s="57">
        <f t="shared" si="1"/>
        <v>0</v>
      </c>
      <c r="R15" s="58"/>
    </row>
    <row r="16" spans="1:19" x14ac:dyDescent="0.2">
      <c r="B16" s="53" t="s">
        <v>46</v>
      </c>
      <c r="C16" s="54"/>
      <c r="E16" s="61"/>
      <c r="G16" s="46"/>
      <c r="H16" s="56"/>
      <c r="J16" s="56"/>
      <c r="K16" s="56"/>
      <c r="L16" s="56"/>
      <c r="N16" s="56">
        <f t="shared" si="0"/>
        <v>0</v>
      </c>
      <c r="P16" s="57">
        <f t="shared" si="1"/>
        <v>0</v>
      </c>
      <c r="R16" s="58"/>
    </row>
    <row r="17" spans="2:18" x14ac:dyDescent="0.2">
      <c r="B17" s="53" t="s">
        <v>47</v>
      </c>
      <c r="C17" s="54"/>
      <c r="E17" s="65"/>
      <c r="G17" s="46"/>
      <c r="H17" s="56"/>
      <c r="J17" s="56"/>
      <c r="K17" s="56"/>
      <c r="L17" s="56"/>
      <c r="N17" s="56">
        <f t="shared" si="0"/>
        <v>0</v>
      </c>
      <c r="P17" s="57">
        <f t="shared" si="1"/>
        <v>0</v>
      </c>
      <c r="R17" s="58"/>
    </row>
    <row r="18" spans="2:18" x14ac:dyDescent="0.2">
      <c r="B18" s="53" t="s">
        <v>48</v>
      </c>
      <c r="C18" s="54"/>
      <c r="E18" s="61"/>
      <c r="G18" s="46"/>
      <c r="H18" s="56"/>
      <c r="J18" s="56"/>
      <c r="K18" s="56"/>
      <c r="L18" s="56"/>
      <c r="N18" s="56">
        <f t="shared" si="0"/>
        <v>0</v>
      </c>
      <c r="P18" s="57">
        <f t="shared" si="1"/>
        <v>0</v>
      </c>
      <c r="R18" s="58"/>
    </row>
    <row r="19" spans="2:18" x14ac:dyDescent="0.2">
      <c r="B19" s="53" t="s">
        <v>49</v>
      </c>
      <c r="C19" s="54"/>
      <c r="E19" s="61"/>
      <c r="G19" s="46"/>
      <c r="H19" s="56"/>
      <c r="J19" s="56"/>
      <c r="K19" s="56"/>
      <c r="L19" s="56"/>
      <c r="N19" s="56">
        <f t="shared" si="0"/>
        <v>0</v>
      </c>
      <c r="P19" s="57">
        <f t="shared" si="1"/>
        <v>0</v>
      </c>
      <c r="R19" s="58"/>
    </row>
    <row r="20" spans="2:18" x14ac:dyDescent="0.2">
      <c r="B20" s="53" t="s">
        <v>50</v>
      </c>
      <c r="C20" s="54"/>
      <c r="E20" s="61"/>
      <c r="G20" s="46"/>
      <c r="H20" s="56"/>
      <c r="J20" s="56"/>
      <c r="K20" s="56"/>
      <c r="L20" s="56"/>
      <c r="N20" s="56">
        <f t="shared" si="0"/>
        <v>0</v>
      </c>
      <c r="P20" s="57">
        <f t="shared" si="1"/>
        <v>0</v>
      </c>
      <c r="R20" s="58"/>
    </row>
    <row r="21" spans="2:18" x14ac:dyDescent="0.2">
      <c r="B21" s="53" t="s">
        <v>51</v>
      </c>
      <c r="C21" s="54"/>
      <c r="E21" s="61"/>
      <c r="G21" s="46"/>
      <c r="H21" s="56"/>
      <c r="J21" s="56"/>
      <c r="K21" s="56"/>
      <c r="L21" s="56"/>
      <c r="N21" s="56">
        <f t="shared" si="0"/>
        <v>0</v>
      </c>
      <c r="P21" s="57">
        <f t="shared" si="1"/>
        <v>0</v>
      </c>
      <c r="R21" s="58"/>
    </row>
    <row r="22" spans="2:18" x14ac:dyDescent="0.2">
      <c r="B22" s="53" t="s">
        <v>52</v>
      </c>
      <c r="C22" s="54"/>
      <c r="E22" s="61"/>
      <c r="G22" s="46"/>
      <c r="H22" s="56"/>
      <c r="J22" s="56"/>
      <c r="K22" s="56"/>
      <c r="L22" s="56"/>
      <c r="N22" s="56">
        <f t="shared" si="0"/>
        <v>0</v>
      </c>
      <c r="P22" s="57">
        <f t="shared" si="1"/>
        <v>0</v>
      </c>
      <c r="R22" s="58"/>
    </row>
    <row r="23" spans="2:18" x14ac:dyDescent="0.2">
      <c r="B23" s="53" t="s">
        <v>53</v>
      </c>
      <c r="C23" s="54"/>
      <c r="E23" s="65"/>
      <c r="G23" s="46"/>
      <c r="H23" s="56"/>
      <c r="K23" s="56"/>
      <c r="L23" s="56"/>
      <c r="N23" s="56">
        <f t="shared" si="0"/>
        <v>0</v>
      </c>
      <c r="P23" s="57">
        <f t="shared" si="1"/>
        <v>0</v>
      </c>
      <c r="R23" s="58"/>
    </row>
    <row r="24" spans="2:18" x14ac:dyDescent="0.2">
      <c r="B24" s="53" t="s">
        <v>54</v>
      </c>
      <c r="C24" s="54"/>
      <c r="E24" s="65"/>
      <c r="G24" s="46"/>
      <c r="H24" s="56"/>
      <c r="J24" s="56"/>
      <c r="K24" s="56"/>
      <c r="L24" s="56"/>
      <c r="N24" s="56">
        <f t="shared" si="0"/>
        <v>0</v>
      </c>
      <c r="P24" s="57">
        <f t="shared" si="1"/>
        <v>0</v>
      </c>
      <c r="R24" s="67"/>
    </row>
    <row r="25" spans="2:18" x14ac:dyDescent="0.2">
      <c r="B25" s="53" t="s">
        <v>55</v>
      </c>
      <c r="C25" s="54"/>
      <c r="E25" s="65"/>
      <c r="G25" s="46"/>
      <c r="H25" s="56"/>
      <c r="J25" s="56"/>
      <c r="K25" s="56"/>
      <c r="L25" s="56"/>
      <c r="N25" s="56">
        <f t="shared" si="0"/>
        <v>0</v>
      </c>
      <c r="P25" s="57">
        <f t="shared" si="1"/>
        <v>0</v>
      </c>
      <c r="R25" s="58"/>
    </row>
    <row r="26" spans="2:18" x14ac:dyDescent="0.2">
      <c r="B26" s="53" t="s">
        <v>56</v>
      </c>
      <c r="C26" s="54"/>
      <c r="E26" s="65"/>
      <c r="G26" s="46"/>
      <c r="H26" s="56"/>
      <c r="J26" s="56"/>
      <c r="K26" s="56"/>
      <c r="L26" s="56"/>
      <c r="N26" s="56">
        <f t="shared" si="0"/>
        <v>0</v>
      </c>
      <c r="P26" s="57">
        <f t="shared" si="1"/>
        <v>0</v>
      </c>
      <c r="R26" s="67"/>
    </row>
    <row r="27" spans="2:18" x14ac:dyDescent="0.2">
      <c r="B27" s="53"/>
      <c r="C27" s="54"/>
      <c r="G27" s="46"/>
      <c r="H27" s="56"/>
      <c r="N27" s="69"/>
      <c r="P27" s="69"/>
    </row>
    <row r="28" spans="2:18" ht="13.5" thickBot="1" x14ac:dyDescent="0.25">
      <c r="J28" s="72">
        <f>SUM(J9:J27)</f>
        <v>0</v>
      </c>
      <c r="L28" s="72">
        <f>SUM(L9:L27)</f>
        <v>0</v>
      </c>
      <c r="N28" s="72">
        <f>SUM(N9:N27)</f>
        <v>0</v>
      </c>
      <c r="P28" s="69"/>
    </row>
    <row r="29" spans="2:18" ht="13.5" thickTop="1" x14ac:dyDescent="0.2"/>
    <row r="32" spans="2:18" x14ac:dyDescent="0.2">
      <c r="B32" s="74" t="s">
        <v>57</v>
      </c>
    </row>
    <row r="33" spans="2:2" x14ac:dyDescent="0.2">
      <c r="B33" s="75"/>
    </row>
    <row r="34" spans="2:2" x14ac:dyDescent="0.2">
      <c r="B34" s="75" t="s">
        <v>58</v>
      </c>
    </row>
    <row r="35" spans="2:2" x14ac:dyDescent="0.2">
      <c r="B35" s="75" t="s">
        <v>59</v>
      </c>
    </row>
    <row r="36" spans="2:2" x14ac:dyDescent="0.2">
      <c r="B36" s="75" t="s">
        <v>60</v>
      </c>
    </row>
    <row r="37" spans="2:2" x14ac:dyDescent="0.2">
      <c r="B37" s="75" t="s">
        <v>61</v>
      </c>
    </row>
    <row r="38" spans="2:2" x14ac:dyDescent="0.2">
      <c r="B38" s="76" t="s">
        <v>62</v>
      </c>
    </row>
  </sheetData>
  <printOptions horizontalCentered="1"/>
  <pageMargins left="0" right="0" top="0.75" bottom="0.75" header="0.3" footer="0.3"/>
  <pageSetup paperSize="5" scale="9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286"/>
  <sheetViews>
    <sheetView workbookViewId="0">
      <selection activeCell="B33" sqref="B33"/>
    </sheetView>
  </sheetViews>
  <sheetFormatPr defaultColWidth="9.140625" defaultRowHeight="12.75" x14ac:dyDescent="0.2"/>
  <cols>
    <col min="1" max="16384" width="9.140625" style="77"/>
  </cols>
  <sheetData>
    <row r="1" spans="1:2" x14ac:dyDescent="0.2">
      <c r="A1" s="78" t="s">
        <v>631</v>
      </c>
      <c r="B1" s="78" t="s">
        <v>630</v>
      </c>
    </row>
    <row r="2" spans="1:2" x14ac:dyDescent="0.2">
      <c r="A2" s="78" t="s">
        <v>629</v>
      </c>
      <c r="B2" s="78" t="s">
        <v>628</v>
      </c>
    </row>
    <row r="3" spans="1:2" x14ac:dyDescent="0.2">
      <c r="A3" s="78" t="s">
        <v>627</v>
      </c>
      <c r="B3" s="78" t="s">
        <v>626</v>
      </c>
    </row>
    <row r="4" spans="1:2" x14ac:dyDescent="0.2">
      <c r="A4" s="78" t="s">
        <v>625</v>
      </c>
      <c r="B4" s="78" t="s">
        <v>624</v>
      </c>
    </row>
    <row r="5" spans="1:2" x14ac:dyDescent="0.2">
      <c r="A5" s="78" t="s">
        <v>623</v>
      </c>
      <c r="B5" s="78" t="s">
        <v>622</v>
      </c>
    </row>
    <row r="6" spans="1:2" x14ac:dyDescent="0.2">
      <c r="A6" s="78" t="s">
        <v>621</v>
      </c>
      <c r="B6" s="78" t="s">
        <v>620</v>
      </c>
    </row>
    <row r="7" spans="1:2" x14ac:dyDescent="0.2">
      <c r="A7" s="78" t="s">
        <v>619</v>
      </c>
      <c r="B7" s="78" t="s">
        <v>618</v>
      </c>
    </row>
    <row r="8" spans="1:2" x14ac:dyDescent="0.2">
      <c r="A8" s="78" t="s">
        <v>617</v>
      </c>
      <c r="B8" s="78" t="s">
        <v>616</v>
      </c>
    </row>
    <row r="9" spans="1:2" x14ac:dyDescent="0.2">
      <c r="A9" s="78" t="s">
        <v>615</v>
      </c>
      <c r="B9" s="78" t="s">
        <v>614</v>
      </c>
    </row>
    <row r="10" spans="1:2" x14ac:dyDescent="0.2">
      <c r="A10" s="78" t="s">
        <v>613</v>
      </c>
      <c r="B10" s="78" t="s">
        <v>612</v>
      </c>
    </row>
    <row r="11" spans="1:2" x14ac:dyDescent="0.2">
      <c r="A11" s="78" t="s">
        <v>611</v>
      </c>
      <c r="B11" s="78" t="s">
        <v>610</v>
      </c>
    </row>
    <row r="12" spans="1:2" x14ac:dyDescent="0.2">
      <c r="A12" s="78" t="s">
        <v>609</v>
      </c>
      <c r="B12" s="78" t="s">
        <v>608</v>
      </c>
    </row>
    <row r="13" spans="1:2" x14ac:dyDescent="0.2">
      <c r="A13" s="78" t="s">
        <v>607</v>
      </c>
      <c r="B13" s="78" t="s">
        <v>606</v>
      </c>
    </row>
    <row r="14" spans="1:2" x14ac:dyDescent="0.2">
      <c r="A14" s="78" t="s">
        <v>605</v>
      </c>
      <c r="B14" s="78" t="s">
        <v>604</v>
      </c>
    </row>
    <row r="15" spans="1:2" x14ac:dyDescent="0.2">
      <c r="A15" s="78" t="s">
        <v>603</v>
      </c>
      <c r="B15" s="78" t="s">
        <v>602</v>
      </c>
    </row>
    <row r="16" spans="1:2" x14ac:dyDescent="0.2">
      <c r="A16" s="78" t="s">
        <v>601</v>
      </c>
      <c r="B16" s="78" t="s">
        <v>600</v>
      </c>
    </row>
    <row r="17" spans="1:2" x14ac:dyDescent="0.2">
      <c r="A17" s="78" t="s">
        <v>599</v>
      </c>
      <c r="B17" s="78" t="s">
        <v>598</v>
      </c>
    </row>
    <row r="18" spans="1:2" x14ac:dyDescent="0.2">
      <c r="A18" s="78" t="s">
        <v>597</v>
      </c>
      <c r="B18" s="78" t="s">
        <v>596</v>
      </c>
    </row>
    <row r="19" spans="1:2" x14ac:dyDescent="0.2">
      <c r="A19" s="78" t="s">
        <v>595</v>
      </c>
      <c r="B19" s="78" t="s">
        <v>594</v>
      </c>
    </row>
    <row r="20" spans="1:2" x14ac:dyDescent="0.2">
      <c r="A20" s="78" t="s">
        <v>593</v>
      </c>
      <c r="B20" s="78" t="s">
        <v>592</v>
      </c>
    </row>
    <row r="21" spans="1:2" x14ac:dyDescent="0.2">
      <c r="A21" s="78" t="s">
        <v>591</v>
      </c>
      <c r="B21" s="78" t="s">
        <v>590</v>
      </c>
    </row>
    <row r="22" spans="1:2" x14ac:dyDescent="0.2">
      <c r="A22" s="78" t="s">
        <v>589</v>
      </c>
      <c r="B22" s="78" t="s">
        <v>588</v>
      </c>
    </row>
    <row r="23" spans="1:2" x14ac:dyDescent="0.2">
      <c r="A23" s="78" t="s">
        <v>587</v>
      </c>
      <c r="B23" s="78" t="s">
        <v>586</v>
      </c>
    </row>
    <row r="24" spans="1:2" x14ac:dyDescent="0.2">
      <c r="A24" s="78" t="s">
        <v>585</v>
      </c>
      <c r="B24" s="78" t="s">
        <v>10</v>
      </c>
    </row>
    <row r="25" spans="1:2" x14ac:dyDescent="0.2">
      <c r="A25" s="78" t="s">
        <v>584</v>
      </c>
      <c r="B25" s="78" t="s">
        <v>583</v>
      </c>
    </row>
    <row r="26" spans="1:2" x14ac:dyDescent="0.2">
      <c r="A26" s="78" t="s">
        <v>582</v>
      </c>
      <c r="B26" s="78" t="s">
        <v>581</v>
      </c>
    </row>
    <row r="27" spans="1:2" x14ac:dyDescent="0.2">
      <c r="A27" s="78" t="s">
        <v>580</v>
      </c>
      <c r="B27" s="78" t="s">
        <v>579</v>
      </c>
    </row>
    <row r="28" spans="1:2" x14ac:dyDescent="0.2">
      <c r="A28" s="78" t="s">
        <v>578</v>
      </c>
      <c r="B28" s="78" t="s">
        <v>577</v>
      </c>
    </row>
    <row r="29" spans="1:2" x14ac:dyDescent="0.2">
      <c r="A29" s="78" t="s">
        <v>576</v>
      </c>
      <c r="B29" s="78" t="s">
        <v>575</v>
      </c>
    </row>
    <row r="30" spans="1:2" x14ac:dyDescent="0.2">
      <c r="A30" s="78" t="s">
        <v>574</v>
      </c>
      <c r="B30" s="78" t="s">
        <v>573</v>
      </c>
    </row>
    <row r="31" spans="1:2" x14ac:dyDescent="0.2">
      <c r="A31" s="78" t="s">
        <v>572</v>
      </c>
      <c r="B31" s="78" t="s">
        <v>571</v>
      </c>
    </row>
    <row r="32" spans="1:2" x14ac:dyDescent="0.2">
      <c r="A32" s="78" t="s">
        <v>570</v>
      </c>
      <c r="B32" s="78" t="s">
        <v>569</v>
      </c>
    </row>
    <row r="33" spans="1:2" x14ac:dyDescent="0.2">
      <c r="A33" s="78" t="s">
        <v>568</v>
      </c>
      <c r="B33" s="78" t="s">
        <v>567</v>
      </c>
    </row>
    <row r="34" spans="1:2" x14ac:dyDescent="0.2">
      <c r="A34" s="78" t="s">
        <v>566</v>
      </c>
      <c r="B34" s="78" t="s">
        <v>565</v>
      </c>
    </row>
    <row r="35" spans="1:2" x14ac:dyDescent="0.2">
      <c r="A35" s="78" t="s">
        <v>564</v>
      </c>
      <c r="B35" s="78" t="s">
        <v>563</v>
      </c>
    </row>
    <row r="36" spans="1:2" x14ac:dyDescent="0.2">
      <c r="A36" s="78" t="s">
        <v>562</v>
      </c>
      <c r="B36" s="78" t="s">
        <v>561</v>
      </c>
    </row>
    <row r="37" spans="1:2" x14ac:dyDescent="0.2">
      <c r="A37" s="78" t="s">
        <v>560</v>
      </c>
      <c r="B37" s="78" t="s">
        <v>559</v>
      </c>
    </row>
    <row r="38" spans="1:2" x14ac:dyDescent="0.2">
      <c r="A38" s="78" t="s">
        <v>558</v>
      </c>
      <c r="B38" s="78" t="s">
        <v>557</v>
      </c>
    </row>
    <row r="39" spans="1:2" x14ac:dyDescent="0.2">
      <c r="A39" s="78" t="s">
        <v>556</v>
      </c>
      <c r="B39" s="78" t="s">
        <v>555</v>
      </c>
    </row>
    <row r="40" spans="1:2" x14ac:dyDescent="0.2">
      <c r="A40" s="78" t="s">
        <v>554</v>
      </c>
      <c r="B40" s="78" t="s">
        <v>553</v>
      </c>
    </row>
    <row r="41" spans="1:2" x14ac:dyDescent="0.2">
      <c r="A41" s="78" t="s">
        <v>552</v>
      </c>
      <c r="B41" s="78" t="s">
        <v>551</v>
      </c>
    </row>
    <row r="42" spans="1:2" x14ac:dyDescent="0.2">
      <c r="A42" s="78" t="s">
        <v>550</v>
      </c>
      <c r="B42" s="78" t="s">
        <v>549</v>
      </c>
    </row>
    <row r="43" spans="1:2" x14ac:dyDescent="0.2">
      <c r="A43" s="78" t="s">
        <v>548</v>
      </c>
      <c r="B43" s="78" t="s">
        <v>547</v>
      </c>
    </row>
    <row r="44" spans="1:2" x14ac:dyDescent="0.2">
      <c r="A44" s="78" t="s">
        <v>546</v>
      </c>
      <c r="B44" s="78" t="s">
        <v>545</v>
      </c>
    </row>
    <row r="45" spans="1:2" x14ac:dyDescent="0.2">
      <c r="A45" s="78" t="s">
        <v>544</v>
      </c>
      <c r="B45" s="78" t="s">
        <v>543</v>
      </c>
    </row>
    <row r="46" spans="1:2" x14ac:dyDescent="0.2">
      <c r="A46" s="78" t="s">
        <v>542</v>
      </c>
      <c r="B46" s="78" t="s">
        <v>541</v>
      </c>
    </row>
    <row r="47" spans="1:2" x14ac:dyDescent="0.2">
      <c r="A47" s="78" t="s">
        <v>540</v>
      </c>
      <c r="B47" s="78" t="s">
        <v>539</v>
      </c>
    </row>
    <row r="48" spans="1:2" x14ac:dyDescent="0.2">
      <c r="A48" s="78" t="s">
        <v>538</v>
      </c>
      <c r="B48" s="78" t="s">
        <v>537</v>
      </c>
    </row>
    <row r="49" spans="1:2" x14ac:dyDescent="0.2">
      <c r="A49" s="78" t="s">
        <v>536</v>
      </c>
      <c r="B49" s="78" t="s">
        <v>535</v>
      </c>
    </row>
    <row r="50" spans="1:2" x14ac:dyDescent="0.2">
      <c r="A50" s="78" t="s">
        <v>534</v>
      </c>
      <c r="B50" s="78" t="s">
        <v>533</v>
      </c>
    </row>
    <row r="51" spans="1:2" x14ac:dyDescent="0.2">
      <c r="A51" s="78" t="s">
        <v>532</v>
      </c>
      <c r="B51" s="78" t="s">
        <v>531</v>
      </c>
    </row>
    <row r="52" spans="1:2" x14ac:dyDescent="0.2">
      <c r="A52" s="78" t="s">
        <v>530</v>
      </c>
      <c r="B52" s="78" t="s">
        <v>529</v>
      </c>
    </row>
    <row r="53" spans="1:2" x14ac:dyDescent="0.2">
      <c r="A53" s="78" t="s">
        <v>528</v>
      </c>
      <c r="B53" s="78" t="s">
        <v>527</v>
      </c>
    </row>
    <row r="54" spans="1:2" x14ac:dyDescent="0.2">
      <c r="A54" s="78" t="s">
        <v>526</v>
      </c>
      <c r="B54" s="78" t="s">
        <v>525</v>
      </c>
    </row>
    <row r="55" spans="1:2" x14ac:dyDescent="0.2">
      <c r="A55" s="78" t="s">
        <v>524</v>
      </c>
      <c r="B55" s="78" t="s">
        <v>523</v>
      </c>
    </row>
    <row r="56" spans="1:2" x14ac:dyDescent="0.2">
      <c r="A56" s="78" t="s">
        <v>522</v>
      </c>
      <c r="B56" s="78" t="s">
        <v>521</v>
      </c>
    </row>
    <row r="57" spans="1:2" x14ac:dyDescent="0.2">
      <c r="A57" s="78" t="s">
        <v>520</v>
      </c>
      <c r="B57" s="78" t="s">
        <v>519</v>
      </c>
    </row>
    <row r="58" spans="1:2" x14ac:dyDescent="0.2">
      <c r="A58" s="78" t="s">
        <v>518</v>
      </c>
      <c r="B58" s="78" t="s">
        <v>517</v>
      </c>
    </row>
    <row r="59" spans="1:2" x14ac:dyDescent="0.2">
      <c r="A59" s="78" t="s">
        <v>516</v>
      </c>
      <c r="B59" s="78" t="s">
        <v>515</v>
      </c>
    </row>
    <row r="60" spans="1:2" x14ac:dyDescent="0.2">
      <c r="A60" s="78" t="s">
        <v>514</v>
      </c>
      <c r="B60" s="78" t="s">
        <v>513</v>
      </c>
    </row>
    <row r="61" spans="1:2" x14ac:dyDescent="0.2">
      <c r="A61" s="78" t="s">
        <v>512</v>
      </c>
      <c r="B61" s="78" t="s">
        <v>511</v>
      </c>
    </row>
    <row r="62" spans="1:2" x14ac:dyDescent="0.2">
      <c r="A62" s="78" t="s">
        <v>510</v>
      </c>
      <c r="B62" s="78" t="s">
        <v>509</v>
      </c>
    </row>
    <row r="63" spans="1:2" x14ac:dyDescent="0.2">
      <c r="A63" s="78" t="s">
        <v>508</v>
      </c>
      <c r="B63" s="78" t="s">
        <v>507</v>
      </c>
    </row>
    <row r="64" spans="1:2" x14ac:dyDescent="0.2">
      <c r="A64" s="78" t="s">
        <v>506</v>
      </c>
      <c r="B64" s="78" t="s">
        <v>505</v>
      </c>
    </row>
    <row r="65" spans="1:2" x14ac:dyDescent="0.2">
      <c r="A65" s="78" t="s">
        <v>504</v>
      </c>
      <c r="B65" s="78" t="s">
        <v>503</v>
      </c>
    </row>
    <row r="66" spans="1:2" x14ac:dyDescent="0.2">
      <c r="A66" s="78" t="s">
        <v>502</v>
      </c>
      <c r="B66" s="78" t="s">
        <v>501</v>
      </c>
    </row>
    <row r="67" spans="1:2" x14ac:dyDescent="0.2">
      <c r="A67" s="78" t="s">
        <v>500</v>
      </c>
      <c r="B67" s="78" t="s">
        <v>499</v>
      </c>
    </row>
    <row r="68" spans="1:2" x14ac:dyDescent="0.2">
      <c r="A68" s="78" t="s">
        <v>498</v>
      </c>
      <c r="B68" s="78" t="s">
        <v>497</v>
      </c>
    </row>
    <row r="69" spans="1:2" x14ac:dyDescent="0.2">
      <c r="A69" s="78" t="s">
        <v>496</v>
      </c>
      <c r="B69" s="78" t="s">
        <v>495</v>
      </c>
    </row>
    <row r="70" spans="1:2" x14ac:dyDescent="0.2">
      <c r="A70" s="78" t="s">
        <v>494</v>
      </c>
      <c r="B70" s="78" t="s">
        <v>493</v>
      </c>
    </row>
    <row r="71" spans="1:2" x14ac:dyDescent="0.2">
      <c r="A71" s="78" t="s">
        <v>492</v>
      </c>
      <c r="B71" s="78" t="s">
        <v>491</v>
      </c>
    </row>
    <row r="72" spans="1:2" x14ac:dyDescent="0.2">
      <c r="A72" s="78" t="s">
        <v>490</v>
      </c>
      <c r="B72" s="78" t="s">
        <v>489</v>
      </c>
    </row>
    <row r="73" spans="1:2" x14ac:dyDescent="0.2">
      <c r="A73" s="78" t="s">
        <v>488</v>
      </c>
      <c r="B73" s="78" t="s">
        <v>487</v>
      </c>
    </row>
    <row r="74" spans="1:2" x14ac:dyDescent="0.2">
      <c r="A74" s="78" t="s">
        <v>486</v>
      </c>
      <c r="B74" s="78" t="s">
        <v>485</v>
      </c>
    </row>
    <row r="75" spans="1:2" x14ac:dyDescent="0.2">
      <c r="A75" s="78" t="s">
        <v>484</v>
      </c>
      <c r="B75" s="78" t="s">
        <v>483</v>
      </c>
    </row>
    <row r="76" spans="1:2" x14ac:dyDescent="0.2">
      <c r="A76" s="78" t="s">
        <v>482</v>
      </c>
      <c r="B76" s="78" t="s">
        <v>481</v>
      </c>
    </row>
    <row r="77" spans="1:2" x14ac:dyDescent="0.2">
      <c r="A77" s="78" t="s">
        <v>480</v>
      </c>
      <c r="B77" s="78" t="s">
        <v>479</v>
      </c>
    </row>
    <row r="78" spans="1:2" x14ac:dyDescent="0.2">
      <c r="A78" s="78" t="s">
        <v>478</v>
      </c>
      <c r="B78" s="78" t="s">
        <v>477</v>
      </c>
    </row>
    <row r="79" spans="1:2" x14ac:dyDescent="0.2">
      <c r="A79" s="78" t="s">
        <v>476</v>
      </c>
      <c r="B79" s="78" t="s">
        <v>475</v>
      </c>
    </row>
    <row r="80" spans="1:2" x14ac:dyDescent="0.2">
      <c r="A80" s="78" t="s">
        <v>474</v>
      </c>
      <c r="B80" s="78" t="s">
        <v>473</v>
      </c>
    </row>
    <row r="81" spans="1:2" x14ac:dyDescent="0.2">
      <c r="A81" s="78" t="s">
        <v>472</v>
      </c>
      <c r="B81" s="78" t="s">
        <v>471</v>
      </c>
    </row>
    <row r="82" spans="1:2" x14ac:dyDescent="0.2">
      <c r="A82" s="78" t="s">
        <v>470</v>
      </c>
      <c r="B82" s="78" t="s">
        <v>469</v>
      </c>
    </row>
    <row r="83" spans="1:2" x14ac:dyDescent="0.2">
      <c r="A83" s="78" t="s">
        <v>468</v>
      </c>
      <c r="B83" s="78" t="s">
        <v>467</v>
      </c>
    </row>
    <row r="84" spans="1:2" x14ac:dyDescent="0.2">
      <c r="A84" s="78" t="s">
        <v>466</v>
      </c>
      <c r="B84" s="78" t="s">
        <v>465</v>
      </c>
    </row>
    <row r="85" spans="1:2" x14ac:dyDescent="0.2">
      <c r="A85" s="78" t="s">
        <v>464</v>
      </c>
      <c r="B85" s="78" t="s">
        <v>463</v>
      </c>
    </row>
    <row r="86" spans="1:2" x14ac:dyDescent="0.2">
      <c r="A86" s="78" t="s">
        <v>462</v>
      </c>
      <c r="B86" s="78" t="s">
        <v>461</v>
      </c>
    </row>
    <row r="87" spans="1:2" x14ac:dyDescent="0.2">
      <c r="A87" s="78" t="s">
        <v>460</v>
      </c>
      <c r="B87" s="78" t="s">
        <v>459</v>
      </c>
    </row>
    <row r="88" spans="1:2" x14ac:dyDescent="0.2">
      <c r="A88" s="78" t="s">
        <v>458</v>
      </c>
      <c r="B88" s="78" t="s">
        <v>457</v>
      </c>
    </row>
    <row r="89" spans="1:2" x14ac:dyDescent="0.2">
      <c r="A89" s="78" t="s">
        <v>456</v>
      </c>
      <c r="B89" s="78" t="s">
        <v>455</v>
      </c>
    </row>
    <row r="90" spans="1:2" x14ac:dyDescent="0.2">
      <c r="A90" s="78" t="s">
        <v>454</v>
      </c>
      <c r="B90" s="78" t="s">
        <v>453</v>
      </c>
    </row>
    <row r="91" spans="1:2" x14ac:dyDescent="0.2">
      <c r="A91" s="78" t="s">
        <v>452</v>
      </c>
      <c r="B91" s="78" t="s">
        <v>451</v>
      </c>
    </row>
    <row r="92" spans="1:2" x14ac:dyDescent="0.2">
      <c r="A92" s="78" t="s">
        <v>450</v>
      </c>
      <c r="B92" s="78" t="s">
        <v>449</v>
      </c>
    </row>
    <row r="93" spans="1:2" x14ac:dyDescent="0.2">
      <c r="A93" s="78" t="s">
        <v>448</v>
      </c>
      <c r="B93" s="78" t="s">
        <v>447</v>
      </c>
    </row>
    <row r="94" spans="1:2" x14ac:dyDescent="0.2">
      <c r="A94" s="78" t="s">
        <v>446</v>
      </c>
      <c r="B94" s="78" t="s">
        <v>445</v>
      </c>
    </row>
    <row r="95" spans="1:2" x14ac:dyDescent="0.2">
      <c r="A95" s="78" t="s">
        <v>444</v>
      </c>
      <c r="B95" s="78" t="s">
        <v>443</v>
      </c>
    </row>
    <row r="96" spans="1:2" x14ac:dyDescent="0.2">
      <c r="A96" s="78" t="s">
        <v>442</v>
      </c>
      <c r="B96" s="78" t="s">
        <v>441</v>
      </c>
    </row>
    <row r="97" spans="1:2" x14ac:dyDescent="0.2">
      <c r="A97" s="78" t="s">
        <v>440</v>
      </c>
      <c r="B97" s="78" t="s">
        <v>439</v>
      </c>
    </row>
    <row r="98" spans="1:2" x14ac:dyDescent="0.2">
      <c r="A98" s="78" t="s">
        <v>438</v>
      </c>
      <c r="B98" s="78" t="s">
        <v>437</v>
      </c>
    </row>
    <row r="99" spans="1:2" x14ac:dyDescent="0.2">
      <c r="A99" s="78" t="s">
        <v>436</v>
      </c>
      <c r="B99" s="78" t="s">
        <v>435</v>
      </c>
    </row>
    <row r="100" spans="1:2" x14ac:dyDescent="0.2">
      <c r="A100" s="78" t="s">
        <v>434</v>
      </c>
      <c r="B100" s="78" t="s">
        <v>433</v>
      </c>
    </row>
    <row r="101" spans="1:2" x14ac:dyDescent="0.2">
      <c r="A101" s="78" t="s">
        <v>432</v>
      </c>
      <c r="B101" s="78" t="s">
        <v>431</v>
      </c>
    </row>
    <row r="102" spans="1:2" x14ac:dyDescent="0.2">
      <c r="A102" s="78" t="s">
        <v>430</v>
      </c>
      <c r="B102" s="78" t="s">
        <v>429</v>
      </c>
    </row>
    <row r="103" spans="1:2" x14ac:dyDescent="0.2">
      <c r="A103" s="78" t="s">
        <v>428</v>
      </c>
      <c r="B103" s="78" t="s">
        <v>427</v>
      </c>
    </row>
    <row r="104" spans="1:2" x14ac:dyDescent="0.2">
      <c r="A104" s="78" t="s">
        <v>426</v>
      </c>
      <c r="B104" s="78" t="s">
        <v>425</v>
      </c>
    </row>
    <row r="105" spans="1:2" x14ac:dyDescent="0.2">
      <c r="A105" s="78" t="s">
        <v>424</v>
      </c>
      <c r="B105" s="78" t="s">
        <v>423</v>
      </c>
    </row>
    <row r="106" spans="1:2" x14ac:dyDescent="0.2">
      <c r="A106" s="78" t="s">
        <v>422</v>
      </c>
      <c r="B106" s="78" t="s">
        <v>421</v>
      </c>
    </row>
    <row r="107" spans="1:2" x14ac:dyDescent="0.2">
      <c r="A107" s="78" t="s">
        <v>420</v>
      </c>
      <c r="B107" s="78" t="s">
        <v>419</v>
      </c>
    </row>
    <row r="108" spans="1:2" x14ac:dyDescent="0.2">
      <c r="A108" s="78" t="s">
        <v>418</v>
      </c>
      <c r="B108" s="78" t="s">
        <v>417</v>
      </c>
    </row>
    <row r="109" spans="1:2" x14ac:dyDescent="0.2">
      <c r="A109" s="78" t="s">
        <v>416</v>
      </c>
      <c r="B109" s="78" t="s">
        <v>11</v>
      </c>
    </row>
    <row r="110" spans="1:2" x14ac:dyDescent="0.2">
      <c r="A110" s="78" t="s">
        <v>415</v>
      </c>
      <c r="B110" s="78" t="s">
        <v>414</v>
      </c>
    </row>
    <row r="111" spans="1:2" x14ac:dyDescent="0.2">
      <c r="A111" s="78" t="s">
        <v>413</v>
      </c>
      <c r="B111" s="78" t="s">
        <v>412</v>
      </c>
    </row>
    <row r="112" spans="1:2" x14ac:dyDescent="0.2">
      <c r="A112" s="78" t="s">
        <v>411</v>
      </c>
      <c r="B112" s="78" t="s">
        <v>410</v>
      </c>
    </row>
    <row r="113" spans="1:2" x14ac:dyDescent="0.2">
      <c r="A113" s="78" t="s">
        <v>409</v>
      </c>
      <c r="B113" s="78" t="s">
        <v>408</v>
      </c>
    </row>
    <row r="114" spans="1:2" x14ac:dyDescent="0.2">
      <c r="A114" s="78" t="s">
        <v>407</v>
      </c>
      <c r="B114" s="78" t="s">
        <v>406</v>
      </c>
    </row>
    <row r="115" spans="1:2" x14ac:dyDescent="0.2">
      <c r="A115" s="78" t="s">
        <v>405</v>
      </c>
      <c r="B115" s="78" t="s">
        <v>404</v>
      </c>
    </row>
    <row r="116" spans="1:2" x14ac:dyDescent="0.2">
      <c r="A116" s="78" t="s">
        <v>403</v>
      </c>
      <c r="B116" s="78" t="s">
        <v>402</v>
      </c>
    </row>
    <row r="117" spans="1:2" x14ac:dyDescent="0.2">
      <c r="A117" s="78" t="s">
        <v>401</v>
      </c>
      <c r="B117" s="78" t="s">
        <v>400</v>
      </c>
    </row>
    <row r="118" spans="1:2" x14ac:dyDescent="0.2">
      <c r="A118" s="78" t="s">
        <v>399</v>
      </c>
      <c r="B118" s="78" t="s">
        <v>398</v>
      </c>
    </row>
    <row r="119" spans="1:2" x14ac:dyDescent="0.2">
      <c r="A119" s="78" t="s">
        <v>397</v>
      </c>
      <c r="B119" s="78" t="s">
        <v>396</v>
      </c>
    </row>
    <row r="120" spans="1:2" x14ac:dyDescent="0.2">
      <c r="A120" s="78" t="s">
        <v>395</v>
      </c>
      <c r="B120" s="78" t="s">
        <v>394</v>
      </c>
    </row>
    <row r="121" spans="1:2" x14ac:dyDescent="0.2">
      <c r="A121" s="78" t="s">
        <v>393</v>
      </c>
      <c r="B121" s="78" t="s">
        <v>392</v>
      </c>
    </row>
    <row r="122" spans="1:2" x14ac:dyDescent="0.2">
      <c r="A122" s="78" t="s">
        <v>391</v>
      </c>
      <c r="B122" s="78" t="s">
        <v>390</v>
      </c>
    </row>
    <row r="123" spans="1:2" x14ac:dyDescent="0.2">
      <c r="A123" s="78" t="s">
        <v>389</v>
      </c>
      <c r="B123" s="78" t="s">
        <v>388</v>
      </c>
    </row>
    <row r="124" spans="1:2" x14ac:dyDescent="0.2">
      <c r="A124" s="78" t="s">
        <v>387</v>
      </c>
      <c r="B124" s="78" t="s">
        <v>386</v>
      </c>
    </row>
    <row r="125" spans="1:2" x14ac:dyDescent="0.2">
      <c r="A125" s="78" t="s">
        <v>385</v>
      </c>
      <c r="B125" s="78" t="s">
        <v>384</v>
      </c>
    </row>
    <row r="126" spans="1:2" x14ac:dyDescent="0.2">
      <c r="A126" s="78" t="s">
        <v>383</v>
      </c>
      <c r="B126" s="78" t="s">
        <v>382</v>
      </c>
    </row>
    <row r="127" spans="1:2" x14ac:dyDescent="0.2">
      <c r="A127" s="78" t="s">
        <v>381</v>
      </c>
      <c r="B127" s="78" t="s">
        <v>380</v>
      </c>
    </row>
    <row r="128" spans="1:2" x14ac:dyDescent="0.2">
      <c r="A128" s="78" t="s">
        <v>379</v>
      </c>
      <c r="B128" s="78" t="s">
        <v>378</v>
      </c>
    </row>
    <row r="129" spans="1:2" x14ac:dyDescent="0.2">
      <c r="A129" s="78" t="s">
        <v>377</v>
      </c>
      <c r="B129" s="78" t="s">
        <v>376</v>
      </c>
    </row>
    <row r="130" spans="1:2" x14ac:dyDescent="0.2">
      <c r="A130" s="78" t="s">
        <v>375</v>
      </c>
      <c r="B130" s="78" t="s">
        <v>374</v>
      </c>
    </row>
    <row r="131" spans="1:2" x14ac:dyDescent="0.2">
      <c r="A131" s="78" t="s">
        <v>373</v>
      </c>
      <c r="B131" s="78" t="s">
        <v>372</v>
      </c>
    </row>
    <row r="132" spans="1:2" x14ac:dyDescent="0.2">
      <c r="A132" s="78" t="s">
        <v>371</v>
      </c>
      <c r="B132" s="78" t="s">
        <v>370</v>
      </c>
    </row>
    <row r="133" spans="1:2" x14ac:dyDescent="0.2">
      <c r="A133" s="78" t="s">
        <v>369</v>
      </c>
      <c r="B133" s="78" t="s">
        <v>368</v>
      </c>
    </row>
    <row r="134" spans="1:2" x14ac:dyDescent="0.2">
      <c r="A134" s="78" t="s">
        <v>367</v>
      </c>
      <c r="B134" s="78" t="s">
        <v>366</v>
      </c>
    </row>
    <row r="135" spans="1:2" x14ac:dyDescent="0.2">
      <c r="A135" s="78" t="s">
        <v>365</v>
      </c>
      <c r="B135" s="78" t="s">
        <v>364</v>
      </c>
    </row>
    <row r="136" spans="1:2" x14ac:dyDescent="0.2">
      <c r="A136" s="78" t="s">
        <v>363</v>
      </c>
      <c r="B136" s="78" t="s">
        <v>362</v>
      </c>
    </row>
    <row r="137" spans="1:2" x14ac:dyDescent="0.2">
      <c r="A137" s="78" t="s">
        <v>361</v>
      </c>
      <c r="B137" s="78" t="s">
        <v>360</v>
      </c>
    </row>
    <row r="138" spans="1:2" x14ac:dyDescent="0.2">
      <c r="A138" s="78" t="s">
        <v>359</v>
      </c>
      <c r="B138" s="78" t="s">
        <v>358</v>
      </c>
    </row>
    <row r="139" spans="1:2" x14ac:dyDescent="0.2">
      <c r="A139" s="78" t="s">
        <v>357</v>
      </c>
      <c r="B139" s="78" t="s">
        <v>356</v>
      </c>
    </row>
    <row r="140" spans="1:2" x14ac:dyDescent="0.2">
      <c r="A140" s="78" t="s">
        <v>355</v>
      </c>
      <c r="B140" s="78" t="s">
        <v>354</v>
      </c>
    </row>
    <row r="141" spans="1:2" x14ac:dyDescent="0.2">
      <c r="A141" s="78" t="s">
        <v>353</v>
      </c>
      <c r="B141" s="78" t="s">
        <v>352</v>
      </c>
    </row>
    <row r="142" spans="1:2" x14ac:dyDescent="0.2">
      <c r="A142" s="78" t="s">
        <v>351</v>
      </c>
      <c r="B142" s="78" t="s">
        <v>350</v>
      </c>
    </row>
    <row r="143" spans="1:2" x14ac:dyDescent="0.2">
      <c r="A143" s="78" t="s">
        <v>349</v>
      </c>
      <c r="B143" s="78" t="s">
        <v>348</v>
      </c>
    </row>
    <row r="144" spans="1:2" x14ac:dyDescent="0.2">
      <c r="A144" s="78" t="s">
        <v>347</v>
      </c>
      <c r="B144" s="78" t="s">
        <v>346</v>
      </c>
    </row>
    <row r="145" spans="1:2" x14ac:dyDescent="0.2">
      <c r="A145" s="78" t="s">
        <v>345</v>
      </c>
      <c r="B145" s="78" t="s">
        <v>344</v>
      </c>
    </row>
    <row r="146" spans="1:2" x14ac:dyDescent="0.2">
      <c r="A146" s="78" t="s">
        <v>343</v>
      </c>
      <c r="B146" s="78" t="s">
        <v>342</v>
      </c>
    </row>
    <row r="147" spans="1:2" x14ac:dyDescent="0.2">
      <c r="A147" s="78" t="s">
        <v>341</v>
      </c>
      <c r="B147" s="78" t="s">
        <v>340</v>
      </c>
    </row>
    <row r="148" spans="1:2" x14ac:dyDescent="0.2">
      <c r="A148" s="78" t="s">
        <v>339</v>
      </c>
      <c r="B148" s="78" t="s">
        <v>338</v>
      </c>
    </row>
    <row r="149" spans="1:2" x14ac:dyDescent="0.2">
      <c r="A149" s="78" t="s">
        <v>337</v>
      </c>
      <c r="B149" s="78" t="s">
        <v>336</v>
      </c>
    </row>
    <row r="150" spans="1:2" x14ac:dyDescent="0.2">
      <c r="A150" s="78" t="s">
        <v>335</v>
      </c>
      <c r="B150" s="78" t="s">
        <v>334</v>
      </c>
    </row>
    <row r="151" spans="1:2" x14ac:dyDescent="0.2">
      <c r="A151" s="78" t="s">
        <v>333</v>
      </c>
      <c r="B151" s="78" t="s">
        <v>332</v>
      </c>
    </row>
    <row r="152" spans="1:2" x14ac:dyDescent="0.2">
      <c r="A152" s="78" t="s">
        <v>331</v>
      </c>
      <c r="B152" s="78" t="s">
        <v>330</v>
      </c>
    </row>
    <row r="153" spans="1:2" x14ac:dyDescent="0.2">
      <c r="A153" s="78" t="s">
        <v>329</v>
      </c>
      <c r="B153" s="78" t="s">
        <v>328</v>
      </c>
    </row>
    <row r="154" spans="1:2" x14ac:dyDescent="0.2">
      <c r="A154" s="78" t="s">
        <v>327</v>
      </c>
      <c r="B154" s="78" t="s">
        <v>326</v>
      </c>
    </row>
    <row r="155" spans="1:2" x14ac:dyDescent="0.2">
      <c r="A155" s="78" t="s">
        <v>325</v>
      </c>
      <c r="B155" s="78" t="s">
        <v>324</v>
      </c>
    </row>
    <row r="156" spans="1:2" x14ac:dyDescent="0.2">
      <c r="A156" s="78" t="s">
        <v>323</v>
      </c>
      <c r="B156" s="78" t="s">
        <v>322</v>
      </c>
    </row>
    <row r="157" spans="1:2" x14ac:dyDescent="0.2">
      <c r="A157" s="78" t="s">
        <v>321</v>
      </c>
      <c r="B157" s="78" t="s">
        <v>320</v>
      </c>
    </row>
    <row r="158" spans="1:2" x14ac:dyDescent="0.2">
      <c r="A158" s="78" t="s">
        <v>319</v>
      </c>
      <c r="B158" s="78" t="s">
        <v>318</v>
      </c>
    </row>
    <row r="159" spans="1:2" x14ac:dyDescent="0.2">
      <c r="A159" s="78" t="s">
        <v>317</v>
      </c>
      <c r="B159" s="78" t="s">
        <v>316</v>
      </c>
    </row>
    <row r="160" spans="1:2" x14ac:dyDescent="0.2">
      <c r="A160" s="78" t="s">
        <v>315</v>
      </c>
      <c r="B160" s="78" t="s">
        <v>314</v>
      </c>
    </row>
    <row r="161" spans="1:2" x14ac:dyDescent="0.2">
      <c r="A161" s="78" t="s">
        <v>313</v>
      </c>
      <c r="B161" s="78" t="s">
        <v>312</v>
      </c>
    </row>
    <row r="162" spans="1:2" x14ac:dyDescent="0.2">
      <c r="A162" s="78" t="s">
        <v>311</v>
      </c>
      <c r="B162" s="78" t="s">
        <v>310</v>
      </c>
    </row>
    <row r="163" spans="1:2" x14ac:dyDescent="0.2">
      <c r="A163" s="78" t="s">
        <v>309</v>
      </c>
      <c r="B163" s="78" t="s">
        <v>308</v>
      </c>
    </row>
    <row r="164" spans="1:2" x14ac:dyDescent="0.2">
      <c r="A164" s="78" t="s">
        <v>307</v>
      </c>
      <c r="B164" s="78" t="s">
        <v>306</v>
      </c>
    </row>
    <row r="165" spans="1:2" x14ac:dyDescent="0.2">
      <c r="A165" s="78" t="s">
        <v>305</v>
      </c>
      <c r="B165" s="78" t="s">
        <v>304</v>
      </c>
    </row>
    <row r="166" spans="1:2" x14ac:dyDescent="0.2">
      <c r="A166" s="78" t="s">
        <v>303</v>
      </c>
      <c r="B166" s="78" t="s">
        <v>302</v>
      </c>
    </row>
    <row r="167" spans="1:2" x14ac:dyDescent="0.2">
      <c r="A167" s="78" t="s">
        <v>301</v>
      </c>
      <c r="B167" s="78" t="s">
        <v>300</v>
      </c>
    </row>
    <row r="168" spans="1:2" x14ac:dyDescent="0.2">
      <c r="A168" s="78" t="s">
        <v>299</v>
      </c>
      <c r="B168" s="78" t="s">
        <v>12</v>
      </c>
    </row>
    <row r="169" spans="1:2" x14ac:dyDescent="0.2">
      <c r="A169" s="78" t="s">
        <v>298</v>
      </c>
      <c r="B169" s="78" t="s">
        <v>297</v>
      </c>
    </row>
    <row r="170" spans="1:2" x14ac:dyDescent="0.2">
      <c r="A170" s="78" t="s">
        <v>296</v>
      </c>
      <c r="B170" s="78" t="s">
        <v>295</v>
      </c>
    </row>
    <row r="171" spans="1:2" x14ac:dyDescent="0.2">
      <c r="A171" s="78" t="s">
        <v>294</v>
      </c>
      <c r="B171" s="78" t="s">
        <v>293</v>
      </c>
    </row>
    <row r="172" spans="1:2" x14ac:dyDescent="0.2">
      <c r="A172" s="78" t="s">
        <v>292</v>
      </c>
      <c r="B172" s="78" t="s">
        <v>13</v>
      </c>
    </row>
    <row r="173" spans="1:2" x14ac:dyDescent="0.2">
      <c r="A173" s="78" t="s">
        <v>291</v>
      </c>
      <c r="B173" s="78" t="s">
        <v>290</v>
      </c>
    </row>
    <row r="174" spans="1:2" x14ac:dyDescent="0.2">
      <c r="A174" s="78" t="s">
        <v>289</v>
      </c>
      <c r="B174" s="78" t="s">
        <v>288</v>
      </c>
    </row>
    <row r="175" spans="1:2" x14ac:dyDescent="0.2">
      <c r="A175" s="78" t="s">
        <v>287</v>
      </c>
      <c r="B175" s="78" t="s">
        <v>14</v>
      </c>
    </row>
    <row r="176" spans="1:2" x14ac:dyDescent="0.2">
      <c r="A176" s="78" t="s">
        <v>286</v>
      </c>
      <c r="B176" s="78" t="s">
        <v>285</v>
      </c>
    </row>
    <row r="177" spans="1:2" x14ac:dyDescent="0.2">
      <c r="A177" s="78" t="s">
        <v>284</v>
      </c>
      <c r="B177" s="78" t="s">
        <v>283</v>
      </c>
    </row>
    <row r="178" spans="1:2" x14ac:dyDescent="0.2">
      <c r="A178" s="78" t="s">
        <v>282</v>
      </c>
      <c r="B178" s="78" t="s">
        <v>281</v>
      </c>
    </row>
    <row r="179" spans="1:2" x14ac:dyDescent="0.2">
      <c r="A179" s="78" t="s">
        <v>280</v>
      </c>
      <c r="B179" s="78" t="s">
        <v>279</v>
      </c>
    </row>
    <row r="180" spans="1:2" x14ac:dyDescent="0.2">
      <c r="A180" s="78" t="s">
        <v>278</v>
      </c>
      <c r="B180" s="78" t="s">
        <v>277</v>
      </c>
    </row>
    <row r="181" spans="1:2" x14ac:dyDescent="0.2">
      <c r="A181" s="78" t="s">
        <v>276</v>
      </c>
      <c r="B181" s="78" t="s">
        <v>275</v>
      </c>
    </row>
    <row r="182" spans="1:2" x14ac:dyDescent="0.2">
      <c r="A182" s="78" t="s">
        <v>274</v>
      </c>
      <c r="B182" s="78" t="s">
        <v>273</v>
      </c>
    </row>
    <row r="183" spans="1:2" x14ac:dyDescent="0.2">
      <c r="A183" s="78" t="s">
        <v>272</v>
      </c>
      <c r="B183" s="78" t="s">
        <v>271</v>
      </c>
    </row>
    <row r="184" spans="1:2" x14ac:dyDescent="0.2">
      <c r="A184" s="78" t="s">
        <v>270</v>
      </c>
      <c r="B184" s="78" t="s">
        <v>269</v>
      </c>
    </row>
    <row r="185" spans="1:2" x14ac:dyDescent="0.2">
      <c r="A185" s="78" t="s">
        <v>268</v>
      </c>
      <c r="B185" s="78" t="s">
        <v>267</v>
      </c>
    </row>
    <row r="186" spans="1:2" x14ac:dyDescent="0.2">
      <c r="A186" s="78" t="s">
        <v>266</v>
      </c>
      <c r="B186" s="78" t="s">
        <v>265</v>
      </c>
    </row>
    <row r="187" spans="1:2" x14ac:dyDescent="0.2">
      <c r="A187" s="78" t="s">
        <v>264</v>
      </c>
      <c r="B187" s="78" t="s">
        <v>263</v>
      </c>
    </row>
    <row r="188" spans="1:2" x14ac:dyDescent="0.2">
      <c r="A188" s="78" t="s">
        <v>262</v>
      </c>
      <c r="B188" s="78" t="s">
        <v>261</v>
      </c>
    </row>
    <row r="189" spans="1:2" x14ac:dyDescent="0.2">
      <c r="A189" s="78" t="s">
        <v>260</v>
      </c>
      <c r="B189" s="78" t="s">
        <v>259</v>
      </c>
    </row>
    <row r="190" spans="1:2" x14ac:dyDescent="0.2">
      <c r="A190" s="78" t="s">
        <v>258</v>
      </c>
      <c r="B190" s="78" t="s">
        <v>257</v>
      </c>
    </row>
    <row r="191" spans="1:2" x14ac:dyDescent="0.2">
      <c r="A191" s="78" t="s">
        <v>256</v>
      </c>
      <c r="B191" s="78" t="s">
        <v>255</v>
      </c>
    </row>
    <row r="192" spans="1:2" x14ac:dyDescent="0.2">
      <c r="A192" s="78" t="s">
        <v>254</v>
      </c>
      <c r="B192" s="78" t="s">
        <v>253</v>
      </c>
    </row>
    <row r="193" spans="1:2" x14ac:dyDescent="0.2">
      <c r="A193" s="78" t="s">
        <v>252</v>
      </c>
      <c r="B193" s="78" t="s">
        <v>251</v>
      </c>
    </row>
    <row r="194" spans="1:2" x14ac:dyDescent="0.2">
      <c r="A194" s="78" t="s">
        <v>250</v>
      </c>
      <c r="B194" s="78" t="s">
        <v>249</v>
      </c>
    </row>
    <row r="195" spans="1:2" x14ac:dyDescent="0.2">
      <c r="A195" s="78" t="s">
        <v>248</v>
      </c>
      <c r="B195" s="78" t="s">
        <v>247</v>
      </c>
    </row>
    <row r="196" spans="1:2" x14ac:dyDescent="0.2">
      <c r="A196" s="78" t="s">
        <v>246</v>
      </c>
      <c r="B196" s="78" t="s">
        <v>245</v>
      </c>
    </row>
    <row r="197" spans="1:2" x14ac:dyDescent="0.2">
      <c r="A197" s="78" t="s">
        <v>244</v>
      </c>
      <c r="B197" s="78" t="s">
        <v>243</v>
      </c>
    </row>
    <row r="198" spans="1:2" x14ac:dyDescent="0.2">
      <c r="A198" s="78" t="s">
        <v>242</v>
      </c>
      <c r="B198" s="78" t="s">
        <v>241</v>
      </c>
    </row>
    <row r="199" spans="1:2" x14ac:dyDescent="0.2">
      <c r="A199" s="78" t="s">
        <v>240</v>
      </c>
      <c r="B199" s="78" t="s">
        <v>239</v>
      </c>
    </row>
    <row r="200" spans="1:2" x14ac:dyDescent="0.2">
      <c r="A200" s="78" t="s">
        <v>238</v>
      </c>
      <c r="B200" s="78" t="s">
        <v>237</v>
      </c>
    </row>
    <row r="201" spans="1:2" x14ac:dyDescent="0.2">
      <c r="A201" s="78" t="s">
        <v>236</v>
      </c>
      <c r="B201" s="78" t="s">
        <v>235</v>
      </c>
    </row>
    <row r="202" spans="1:2" x14ac:dyDescent="0.2">
      <c r="A202" s="78" t="s">
        <v>234</v>
      </c>
      <c r="B202" s="78" t="s">
        <v>233</v>
      </c>
    </row>
    <row r="203" spans="1:2" x14ac:dyDescent="0.2">
      <c r="A203" s="78" t="s">
        <v>232</v>
      </c>
      <c r="B203" s="78" t="s">
        <v>231</v>
      </c>
    </row>
    <row r="204" spans="1:2" x14ac:dyDescent="0.2">
      <c r="A204" s="78" t="s">
        <v>230</v>
      </c>
      <c r="B204" s="78" t="s">
        <v>15</v>
      </c>
    </row>
    <row r="205" spans="1:2" x14ac:dyDescent="0.2">
      <c r="A205" s="78" t="s">
        <v>229</v>
      </c>
      <c r="B205" s="78" t="s">
        <v>16</v>
      </c>
    </row>
    <row r="206" spans="1:2" x14ac:dyDescent="0.2">
      <c r="A206" s="78" t="s">
        <v>228</v>
      </c>
      <c r="B206" s="78" t="s">
        <v>227</v>
      </c>
    </row>
    <row r="207" spans="1:2" x14ac:dyDescent="0.2">
      <c r="A207" s="78" t="s">
        <v>226</v>
      </c>
      <c r="B207" s="78" t="s">
        <v>225</v>
      </c>
    </row>
    <row r="208" spans="1:2" x14ac:dyDescent="0.2">
      <c r="A208" s="78" t="s">
        <v>224</v>
      </c>
      <c r="B208" s="78" t="s">
        <v>223</v>
      </c>
    </row>
    <row r="209" spans="1:2" x14ac:dyDescent="0.2">
      <c r="A209" s="78" t="s">
        <v>222</v>
      </c>
      <c r="B209" s="78" t="s">
        <v>221</v>
      </c>
    </row>
    <row r="210" spans="1:2" x14ac:dyDescent="0.2">
      <c r="A210" s="78" t="s">
        <v>220</v>
      </c>
      <c r="B210" s="78" t="s">
        <v>17</v>
      </c>
    </row>
    <row r="211" spans="1:2" x14ac:dyDescent="0.2">
      <c r="A211" s="78" t="s">
        <v>219</v>
      </c>
      <c r="B211" s="78" t="s">
        <v>218</v>
      </c>
    </row>
    <row r="212" spans="1:2" x14ac:dyDescent="0.2">
      <c r="A212" s="78" t="s">
        <v>217</v>
      </c>
      <c r="B212" s="78" t="s">
        <v>216</v>
      </c>
    </row>
    <row r="213" spans="1:2" x14ac:dyDescent="0.2">
      <c r="A213" s="78" t="s">
        <v>215</v>
      </c>
      <c r="B213" s="78" t="s">
        <v>214</v>
      </c>
    </row>
    <row r="214" spans="1:2" x14ac:dyDescent="0.2">
      <c r="A214" s="78" t="s">
        <v>213</v>
      </c>
      <c r="B214" s="78" t="s">
        <v>212</v>
      </c>
    </row>
    <row r="215" spans="1:2" x14ac:dyDescent="0.2">
      <c r="A215" s="78" t="s">
        <v>211</v>
      </c>
      <c r="B215" s="78" t="s">
        <v>210</v>
      </c>
    </row>
    <row r="216" spans="1:2" x14ac:dyDescent="0.2">
      <c r="A216" s="78" t="s">
        <v>209</v>
      </c>
      <c r="B216" s="78" t="s">
        <v>208</v>
      </c>
    </row>
    <row r="217" spans="1:2" x14ac:dyDescent="0.2">
      <c r="A217" s="78" t="s">
        <v>207</v>
      </c>
      <c r="B217" s="78" t="s">
        <v>206</v>
      </c>
    </row>
    <row r="218" spans="1:2" x14ac:dyDescent="0.2">
      <c r="A218" s="78" t="s">
        <v>205</v>
      </c>
      <c r="B218" s="78" t="s">
        <v>204</v>
      </c>
    </row>
    <row r="219" spans="1:2" x14ac:dyDescent="0.2">
      <c r="A219" s="78" t="s">
        <v>203</v>
      </c>
      <c r="B219" s="78" t="s">
        <v>18</v>
      </c>
    </row>
    <row r="220" spans="1:2" x14ac:dyDescent="0.2">
      <c r="A220" s="78" t="s">
        <v>202</v>
      </c>
      <c r="B220" s="78" t="s">
        <v>201</v>
      </c>
    </row>
    <row r="221" spans="1:2" x14ac:dyDescent="0.2">
      <c r="A221" s="78" t="s">
        <v>200</v>
      </c>
      <c r="B221" s="78" t="s">
        <v>199</v>
      </c>
    </row>
    <row r="222" spans="1:2" x14ac:dyDescent="0.2">
      <c r="A222" s="78" t="s">
        <v>198</v>
      </c>
      <c r="B222" s="78" t="s">
        <v>197</v>
      </c>
    </row>
    <row r="223" spans="1:2" x14ac:dyDescent="0.2">
      <c r="A223" s="78" t="s">
        <v>196</v>
      </c>
      <c r="B223" s="78" t="s">
        <v>19</v>
      </c>
    </row>
    <row r="224" spans="1:2" x14ac:dyDescent="0.2">
      <c r="A224" s="78" t="s">
        <v>195</v>
      </c>
      <c r="B224" s="78" t="s">
        <v>194</v>
      </c>
    </row>
    <row r="225" spans="1:2" x14ac:dyDescent="0.2">
      <c r="A225" s="78" t="s">
        <v>193</v>
      </c>
      <c r="B225" s="78" t="s">
        <v>192</v>
      </c>
    </row>
    <row r="226" spans="1:2" x14ac:dyDescent="0.2">
      <c r="A226" s="78" t="s">
        <v>191</v>
      </c>
      <c r="B226" s="78" t="s">
        <v>190</v>
      </c>
    </row>
    <row r="227" spans="1:2" x14ac:dyDescent="0.2">
      <c r="A227" s="78" t="s">
        <v>189</v>
      </c>
      <c r="B227" s="78" t="s">
        <v>188</v>
      </c>
    </row>
    <row r="228" spans="1:2" x14ac:dyDescent="0.2">
      <c r="A228" s="78" t="s">
        <v>187</v>
      </c>
      <c r="B228" s="78" t="s">
        <v>186</v>
      </c>
    </row>
    <row r="229" spans="1:2" x14ac:dyDescent="0.2">
      <c r="A229" s="78" t="s">
        <v>185</v>
      </c>
      <c r="B229" s="78" t="s">
        <v>184</v>
      </c>
    </row>
    <row r="230" spans="1:2" x14ac:dyDescent="0.2">
      <c r="A230" s="78" t="s">
        <v>183</v>
      </c>
      <c r="B230" s="78" t="s">
        <v>182</v>
      </c>
    </row>
    <row r="231" spans="1:2" x14ac:dyDescent="0.2">
      <c r="A231" s="78" t="s">
        <v>181</v>
      </c>
      <c r="B231" s="78" t="s">
        <v>20</v>
      </c>
    </row>
    <row r="232" spans="1:2" x14ac:dyDescent="0.2">
      <c r="A232" s="78" t="s">
        <v>180</v>
      </c>
      <c r="B232" s="78" t="s">
        <v>179</v>
      </c>
    </row>
    <row r="233" spans="1:2" x14ac:dyDescent="0.2">
      <c r="A233" s="78" t="s">
        <v>178</v>
      </c>
      <c r="B233" s="78" t="s">
        <v>21</v>
      </c>
    </row>
    <row r="234" spans="1:2" x14ac:dyDescent="0.2">
      <c r="A234" s="78" t="s">
        <v>177</v>
      </c>
      <c r="B234" s="78" t="s">
        <v>176</v>
      </c>
    </row>
    <row r="235" spans="1:2" x14ac:dyDescent="0.2">
      <c r="A235" s="78" t="s">
        <v>175</v>
      </c>
      <c r="B235" s="78" t="s">
        <v>174</v>
      </c>
    </row>
    <row r="236" spans="1:2" x14ac:dyDescent="0.2">
      <c r="A236" s="78" t="s">
        <v>173</v>
      </c>
      <c r="B236" s="78" t="s">
        <v>172</v>
      </c>
    </row>
    <row r="237" spans="1:2" x14ac:dyDescent="0.2">
      <c r="A237" s="78" t="s">
        <v>171</v>
      </c>
      <c r="B237" s="78" t="s">
        <v>170</v>
      </c>
    </row>
    <row r="238" spans="1:2" x14ac:dyDescent="0.2">
      <c r="A238" s="78" t="s">
        <v>169</v>
      </c>
      <c r="B238" s="78" t="s">
        <v>168</v>
      </c>
    </row>
    <row r="239" spans="1:2" x14ac:dyDescent="0.2">
      <c r="A239" s="78" t="s">
        <v>167</v>
      </c>
      <c r="B239" s="78" t="s">
        <v>166</v>
      </c>
    </row>
    <row r="240" spans="1:2" x14ac:dyDescent="0.2">
      <c r="A240" s="78" t="s">
        <v>165</v>
      </c>
      <c r="B240" s="78" t="s">
        <v>164</v>
      </c>
    </row>
    <row r="241" spans="1:2" x14ac:dyDescent="0.2">
      <c r="A241" s="78" t="s">
        <v>163</v>
      </c>
      <c r="B241" s="78" t="s">
        <v>162</v>
      </c>
    </row>
    <row r="242" spans="1:2" x14ac:dyDescent="0.2">
      <c r="A242" s="78" t="s">
        <v>161</v>
      </c>
      <c r="B242" s="78" t="s">
        <v>160</v>
      </c>
    </row>
    <row r="243" spans="1:2" x14ac:dyDescent="0.2">
      <c r="A243" s="78" t="s">
        <v>159</v>
      </c>
      <c r="B243" s="78" t="s">
        <v>158</v>
      </c>
    </row>
    <row r="244" spans="1:2" x14ac:dyDescent="0.2">
      <c r="A244" s="78" t="s">
        <v>157</v>
      </c>
      <c r="B244" s="78" t="s">
        <v>156</v>
      </c>
    </row>
    <row r="245" spans="1:2" x14ac:dyDescent="0.2">
      <c r="A245" s="78" t="s">
        <v>155</v>
      </c>
      <c r="B245" s="78" t="s">
        <v>154</v>
      </c>
    </row>
    <row r="246" spans="1:2" x14ac:dyDescent="0.2">
      <c r="A246" s="78" t="s">
        <v>153</v>
      </c>
      <c r="B246" s="78" t="s">
        <v>152</v>
      </c>
    </row>
    <row r="247" spans="1:2" x14ac:dyDescent="0.2">
      <c r="A247" s="78" t="s">
        <v>151</v>
      </c>
      <c r="B247" s="78" t="s">
        <v>150</v>
      </c>
    </row>
    <row r="248" spans="1:2" x14ac:dyDescent="0.2">
      <c r="A248" s="78" t="s">
        <v>149</v>
      </c>
      <c r="B248" s="78" t="s">
        <v>148</v>
      </c>
    </row>
    <row r="249" spans="1:2" x14ac:dyDescent="0.2">
      <c r="A249" s="78" t="s">
        <v>147</v>
      </c>
      <c r="B249" s="78" t="s">
        <v>146</v>
      </c>
    </row>
    <row r="250" spans="1:2" x14ac:dyDescent="0.2">
      <c r="A250" s="78" t="s">
        <v>145</v>
      </c>
      <c r="B250" s="78" t="s">
        <v>144</v>
      </c>
    </row>
    <row r="251" spans="1:2" x14ac:dyDescent="0.2">
      <c r="A251" s="78" t="s">
        <v>143</v>
      </c>
      <c r="B251" s="78" t="s">
        <v>142</v>
      </c>
    </row>
    <row r="252" spans="1:2" x14ac:dyDescent="0.2">
      <c r="A252" s="78" t="s">
        <v>141</v>
      </c>
      <c r="B252" s="78" t="s">
        <v>140</v>
      </c>
    </row>
    <row r="253" spans="1:2" x14ac:dyDescent="0.2">
      <c r="A253" s="78" t="s">
        <v>139</v>
      </c>
      <c r="B253" s="78" t="s">
        <v>138</v>
      </c>
    </row>
    <row r="254" spans="1:2" x14ac:dyDescent="0.2">
      <c r="A254" s="78" t="s">
        <v>137</v>
      </c>
      <c r="B254" s="78" t="s">
        <v>136</v>
      </c>
    </row>
    <row r="255" spans="1:2" x14ac:dyDescent="0.2">
      <c r="A255" s="78" t="s">
        <v>135</v>
      </c>
      <c r="B255" s="78" t="s">
        <v>134</v>
      </c>
    </row>
    <row r="256" spans="1:2" x14ac:dyDescent="0.2">
      <c r="A256" s="78" t="s">
        <v>133</v>
      </c>
      <c r="B256" s="78" t="s">
        <v>132</v>
      </c>
    </row>
    <row r="257" spans="1:2" x14ac:dyDescent="0.2">
      <c r="A257" s="78" t="s">
        <v>131</v>
      </c>
      <c r="B257" s="78" t="s">
        <v>130</v>
      </c>
    </row>
    <row r="258" spans="1:2" x14ac:dyDescent="0.2">
      <c r="A258" s="78" t="s">
        <v>129</v>
      </c>
      <c r="B258" s="78" t="s">
        <v>128</v>
      </c>
    </row>
    <row r="259" spans="1:2" x14ac:dyDescent="0.2">
      <c r="A259" s="78" t="s">
        <v>127</v>
      </c>
      <c r="B259" s="78" t="s">
        <v>126</v>
      </c>
    </row>
    <row r="260" spans="1:2" x14ac:dyDescent="0.2">
      <c r="A260" s="78" t="s">
        <v>125</v>
      </c>
      <c r="B260" s="78" t="s">
        <v>124</v>
      </c>
    </row>
    <row r="261" spans="1:2" x14ac:dyDescent="0.2">
      <c r="A261" s="78" t="s">
        <v>123</v>
      </c>
      <c r="B261" s="78" t="s">
        <v>122</v>
      </c>
    </row>
    <row r="262" spans="1:2" x14ac:dyDescent="0.2">
      <c r="A262" s="78" t="s">
        <v>121</v>
      </c>
      <c r="B262" s="78" t="s">
        <v>120</v>
      </c>
    </row>
    <row r="263" spans="1:2" x14ac:dyDescent="0.2">
      <c r="A263" s="78" t="s">
        <v>119</v>
      </c>
      <c r="B263" s="78" t="s">
        <v>118</v>
      </c>
    </row>
    <row r="264" spans="1:2" x14ac:dyDescent="0.2">
      <c r="A264" s="78" t="s">
        <v>117</v>
      </c>
      <c r="B264" s="78" t="s">
        <v>116</v>
      </c>
    </row>
    <row r="265" spans="1:2" x14ac:dyDescent="0.2">
      <c r="A265" s="78" t="s">
        <v>115</v>
      </c>
      <c r="B265" s="78" t="s">
        <v>114</v>
      </c>
    </row>
    <row r="266" spans="1:2" x14ac:dyDescent="0.2">
      <c r="A266" s="78" t="s">
        <v>113</v>
      </c>
      <c r="B266" s="78" t="s">
        <v>112</v>
      </c>
    </row>
    <row r="267" spans="1:2" x14ac:dyDescent="0.2">
      <c r="A267" s="78" t="s">
        <v>111</v>
      </c>
      <c r="B267" s="78" t="s">
        <v>110</v>
      </c>
    </row>
    <row r="268" spans="1:2" x14ac:dyDescent="0.2">
      <c r="A268" s="78" t="s">
        <v>109</v>
      </c>
      <c r="B268" s="78" t="s">
        <v>108</v>
      </c>
    </row>
    <row r="269" spans="1:2" x14ac:dyDescent="0.2">
      <c r="A269" s="78" t="s">
        <v>107</v>
      </c>
      <c r="B269" s="78" t="s">
        <v>106</v>
      </c>
    </row>
    <row r="270" spans="1:2" x14ac:dyDescent="0.2">
      <c r="A270" s="78" t="s">
        <v>105</v>
      </c>
      <c r="B270" s="78" t="s">
        <v>104</v>
      </c>
    </row>
    <row r="271" spans="1:2" x14ac:dyDescent="0.2">
      <c r="A271" s="78" t="s">
        <v>103</v>
      </c>
      <c r="B271" s="78" t="s">
        <v>102</v>
      </c>
    </row>
    <row r="272" spans="1:2" x14ac:dyDescent="0.2">
      <c r="A272" s="78" t="s">
        <v>101</v>
      </c>
      <c r="B272" s="78" t="s">
        <v>100</v>
      </c>
    </row>
    <row r="273" spans="1:2" x14ac:dyDescent="0.2">
      <c r="A273" s="78" t="s">
        <v>99</v>
      </c>
      <c r="B273" s="78" t="s">
        <v>98</v>
      </c>
    </row>
    <row r="274" spans="1:2" x14ac:dyDescent="0.2">
      <c r="A274" s="78" t="s">
        <v>97</v>
      </c>
      <c r="B274" s="78" t="s">
        <v>96</v>
      </c>
    </row>
    <row r="275" spans="1:2" x14ac:dyDescent="0.2">
      <c r="A275" s="78" t="s">
        <v>95</v>
      </c>
      <c r="B275" s="78" t="s">
        <v>94</v>
      </c>
    </row>
    <row r="276" spans="1:2" x14ac:dyDescent="0.2">
      <c r="A276" s="78" t="s">
        <v>93</v>
      </c>
      <c r="B276" s="78" t="s">
        <v>92</v>
      </c>
    </row>
    <row r="277" spans="1:2" x14ac:dyDescent="0.2">
      <c r="A277" s="78" t="s">
        <v>91</v>
      </c>
      <c r="B277" s="78" t="s">
        <v>90</v>
      </c>
    </row>
    <row r="278" spans="1:2" x14ac:dyDescent="0.2">
      <c r="A278" s="78" t="s">
        <v>89</v>
      </c>
      <c r="B278" s="78" t="s">
        <v>88</v>
      </c>
    </row>
    <row r="279" spans="1:2" x14ac:dyDescent="0.2">
      <c r="A279" s="78" t="s">
        <v>87</v>
      </c>
      <c r="B279" s="78" t="s">
        <v>86</v>
      </c>
    </row>
    <row r="280" spans="1:2" x14ac:dyDescent="0.2">
      <c r="A280" s="78" t="s">
        <v>85</v>
      </c>
      <c r="B280" s="78" t="s">
        <v>84</v>
      </c>
    </row>
    <row r="281" spans="1:2" x14ac:dyDescent="0.2">
      <c r="A281" s="78" t="s">
        <v>83</v>
      </c>
      <c r="B281" s="78" t="s">
        <v>82</v>
      </c>
    </row>
    <row r="282" spans="1:2" x14ac:dyDescent="0.2">
      <c r="A282" s="78" t="s">
        <v>81</v>
      </c>
      <c r="B282" s="78" t="s">
        <v>80</v>
      </c>
    </row>
    <row r="283" spans="1:2" x14ac:dyDescent="0.2">
      <c r="A283" s="78" t="s">
        <v>79</v>
      </c>
      <c r="B283" s="78" t="s">
        <v>78</v>
      </c>
    </row>
    <row r="284" spans="1:2" x14ac:dyDescent="0.2">
      <c r="A284" s="78" t="s">
        <v>77</v>
      </c>
      <c r="B284" s="78" t="s">
        <v>76</v>
      </c>
    </row>
    <row r="285" spans="1:2" x14ac:dyDescent="0.2">
      <c r="A285" s="78" t="s">
        <v>75</v>
      </c>
      <c r="B285" s="78" t="s">
        <v>74</v>
      </c>
    </row>
    <row r="286" spans="1:2" x14ac:dyDescent="0.2">
      <c r="A286" s="78" t="s">
        <v>73</v>
      </c>
      <c r="B286" s="78" t="s">
        <v>72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39"/>
  <sheetViews>
    <sheetView workbookViewId="0">
      <selection activeCell="A40" sqref="A40"/>
    </sheetView>
  </sheetViews>
  <sheetFormatPr defaultRowHeight="15" x14ac:dyDescent="0.25"/>
  <cols>
    <col min="1" max="1" width="50.85546875" customWidth="1"/>
  </cols>
  <sheetData>
    <row r="2" spans="1:1" x14ac:dyDescent="0.25">
      <c r="A2" t="s">
        <v>0</v>
      </c>
    </row>
    <row r="3" spans="1:1" x14ac:dyDescent="0.25">
      <c r="A3" t="s">
        <v>645</v>
      </c>
    </row>
    <row r="4" spans="1:1" x14ac:dyDescent="0.25">
      <c r="A4" t="s">
        <v>1</v>
      </c>
    </row>
    <row r="5" spans="1:1" x14ac:dyDescent="0.25">
      <c r="A5" t="s">
        <v>2</v>
      </c>
    </row>
    <row r="6" spans="1:1" x14ac:dyDescent="0.25">
      <c r="A6" t="s">
        <v>3</v>
      </c>
    </row>
    <row r="7" spans="1:1" x14ac:dyDescent="0.25">
      <c r="A7" t="s">
        <v>4</v>
      </c>
    </row>
    <row r="8" spans="1:1" x14ac:dyDescent="0.25">
      <c r="A8" t="s">
        <v>5</v>
      </c>
    </row>
    <row r="9" spans="1:1" x14ac:dyDescent="0.25">
      <c r="A9" t="s">
        <v>6</v>
      </c>
    </row>
    <row r="10" spans="1:1" x14ac:dyDescent="0.25">
      <c r="A10" t="s">
        <v>7</v>
      </c>
    </row>
    <row r="11" spans="1:1" x14ac:dyDescent="0.25">
      <c r="A11" t="s">
        <v>8</v>
      </c>
    </row>
    <row r="12" spans="1:1" x14ac:dyDescent="0.25">
      <c r="A12" t="s">
        <v>9</v>
      </c>
    </row>
    <row r="13" spans="1:1" x14ac:dyDescent="0.25">
      <c r="A13" t="s">
        <v>646</v>
      </c>
    </row>
    <row r="14" spans="1:1" x14ac:dyDescent="0.25">
      <c r="A14" t="s">
        <v>647</v>
      </c>
    </row>
    <row r="15" spans="1:1" x14ac:dyDescent="0.25">
      <c r="A15" t="s">
        <v>648</v>
      </c>
    </row>
    <row r="16" spans="1:1" x14ac:dyDescent="0.25">
      <c r="A16" t="s">
        <v>649</v>
      </c>
    </row>
    <row r="17" spans="1:1" x14ac:dyDescent="0.25">
      <c r="A17" t="s">
        <v>650</v>
      </c>
    </row>
    <row r="18" spans="1:1" x14ac:dyDescent="0.25">
      <c r="A18" t="s">
        <v>651</v>
      </c>
    </row>
    <row r="19" spans="1:1" x14ac:dyDescent="0.25">
      <c r="A19" t="s">
        <v>652</v>
      </c>
    </row>
    <row r="20" spans="1:1" x14ac:dyDescent="0.25">
      <c r="A20" t="s">
        <v>653</v>
      </c>
    </row>
    <row r="21" spans="1:1" x14ac:dyDescent="0.25">
      <c r="A21" t="s">
        <v>654</v>
      </c>
    </row>
    <row r="22" spans="1:1" x14ac:dyDescent="0.25">
      <c r="A22" t="s">
        <v>655</v>
      </c>
    </row>
    <row r="23" spans="1:1" x14ac:dyDescent="0.25">
      <c r="A23" t="s">
        <v>656</v>
      </c>
    </row>
    <row r="24" spans="1:1" x14ac:dyDescent="0.25">
      <c r="A24" t="s">
        <v>657</v>
      </c>
    </row>
    <row r="25" spans="1:1" x14ac:dyDescent="0.25">
      <c r="A25" t="s">
        <v>658</v>
      </c>
    </row>
    <row r="26" spans="1:1" x14ac:dyDescent="0.25">
      <c r="A26" t="s">
        <v>659</v>
      </c>
    </row>
    <row r="27" spans="1:1" x14ac:dyDescent="0.25">
      <c r="A27" t="s">
        <v>660</v>
      </c>
    </row>
    <row r="28" spans="1:1" x14ac:dyDescent="0.25">
      <c r="A28" t="s">
        <v>661</v>
      </c>
    </row>
    <row r="29" spans="1:1" x14ac:dyDescent="0.25">
      <c r="A29" t="s">
        <v>662</v>
      </c>
    </row>
    <row r="30" spans="1:1" x14ac:dyDescent="0.25">
      <c r="A30" t="s">
        <v>663</v>
      </c>
    </row>
    <row r="31" spans="1:1" x14ac:dyDescent="0.25">
      <c r="A31" t="s">
        <v>664</v>
      </c>
    </row>
    <row r="32" spans="1:1" x14ac:dyDescent="0.25">
      <c r="A32" t="s">
        <v>665</v>
      </c>
    </row>
    <row r="33" spans="1:1" x14ac:dyDescent="0.25">
      <c r="A33" t="s">
        <v>666</v>
      </c>
    </row>
    <row r="34" spans="1:1" x14ac:dyDescent="0.25">
      <c r="A34" t="s">
        <v>667</v>
      </c>
    </row>
    <row r="35" spans="1:1" x14ac:dyDescent="0.25">
      <c r="A35" t="s">
        <v>668</v>
      </c>
    </row>
    <row r="36" spans="1:1" x14ac:dyDescent="0.25">
      <c r="A36" t="s">
        <v>669</v>
      </c>
    </row>
    <row r="37" spans="1:1" x14ac:dyDescent="0.25">
      <c r="A37" t="s">
        <v>670</v>
      </c>
    </row>
    <row r="38" spans="1:1" x14ac:dyDescent="0.25">
      <c r="A38" t="s">
        <v>671</v>
      </c>
    </row>
    <row r="39" spans="1:1" x14ac:dyDescent="0.25">
      <c r="A39" t="s">
        <v>672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3"/>
  <sheetViews>
    <sheetView workbookViewId="0">
      <selection activeCell="A19" sqref="A19"/>
    </sheetView>
  </sheetViews>
  <sheetFormatPr defaultRowHeight="15" x14ac:dyDescent="0.25"/>
  <cols>
    <col min="1" max="1" width="44" customWidth="1"/>
  </cols>
  <sheetData>
    <row r="1" spans="1:1" x14ac:dyDescent="0.25">
      <c r="A1" t="s">
        <v>632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row r="9" spans="1:1" x14ac:dyDescent="0.25">
      <c r="A9" t="s">
        <v>70</v>
      </c>
    </row>
    <row r="10" spans="1:1" x14ac:dyDescent="0.25">
      <c r="A10" t="s">
        <v>639</v>
      </c>
    </row>
    <row r="11" spans="1:1" x14ac:dyDescent="0.25">
      <c r="A11" t="s">
        <v>67</v>
      </c>
    </row>
    <row r="12" spans="1:1" x14ac:dyDescent="0.25">
      <c r="A12" t="s">
        <v>638</v>
      </c>
    </row>
    <row r="13" spans="1:1" x14ac:dyDescent="0.25">
      <c r="A13" t="s">
        <v>635</v>
      </c>
    </row>
  </sheetData>
  <sortState ref="A10:A13">
    <sortCondition ref="A1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179"/>
  <sheetViews>
    <sheetView showGridLines="0" zoomScaleNormal="100" workbookViewId="0">
      <pane ySplit="4" topLeftCell="A32" activePane="bottomLeft" state="frozen"/>
      <selection pane="bottomLeft" activeCell="P52" sqref="P52"/>
    </sheetView>
  </sheetViews>
  <sheetFormatPr defaultColWidth="9.140625" defaultRowHeight="12.75" x14ac:dyDescent="0.2"/>
  <cols>
    <col min="1" max="1" width="15.7109375" style="156" customWidth="1"/>
    <col min="2" max="2" width="28.28515625" style="156" bestFit="1" customWidth="1"/>
    <col min="3" max="3" width="43.140625" style="156" customWidth="1"/>
    <col min="4" max="4" width="2" style="156" customWidth="1"/>
    <col min="5" max="5" width="11.5703125" style="156" bestFit="1" customWidth="1"/>
    <col min="6" max="6" width="11.28515625" style="156" bestFit="1" customWidth="1"/>
    <col min="7" max="8" width="13.42578125" style="156" bestFit="1" customWidth="1"/>
    <col min="9" max="9" width="12.28515625" style="156" bestFit="1" customWidth="1"/>
    <col min="10" max="10" width="13.42578125" style="156" bestFit="1" customWidth="1"/>
    <col min="11" max="11" width="10.5703125" style="353" customWidth="1"/>
    <col min="12" max="12" width="14.140625" style="156" customWidth="1"/>
    <col min="13" max="13" width="12.28515625" style="156" customWidth="1"/>
    <col min="14" max="14" width="11.42578125" style="156" customWidth="1"/>
    <col min="15" max="15" width="12" style="156" customWidth="1"/>
    <col min="16" max="16" width="37.28515625" style="156" customWidth="1"/>
    <col min="17" max="17" width="11.28515625" style="156" bestFit="1" customWidth="1"/>
    <col min="18" max="16384" width="9.140625" style="156"/>
  </cols>
  <sheetData>
    <row r="1" spans="1:19" ht="18.75" customHeight="1" x14ac:dyDescent="0.3">
      <c r="A1" s="290" t="s">
        <v>777</v>
      </c>
      <c r="B1" s="296" t="s">
        <v>815</v>
      </c>
      <c r="O1" s="164"/>
    </row>
    <row r="2" spans="1:19" ht="21" customHeight="1" thickBot="1" x14ac:dyDescent="0.35">
      <c r="A2" s="297" t="s">
        <v>810</v>
      </c>
      <c r="B2" s="298" t="s">
        <v>721</v>
      </c>
      <c r="O2" s="164"/>
    </row>
    <row r="3" spans="1:19" ht="31.5" customHeight="1" thickBot="1" x14ac:dyDescent="0.25">
      <c r="A3" s="165" t="s">
        <v>778</v>
      </c>
      <c r="B3" s="233"/>
      <c r="D3" s="157"/>
      <c r="E3" s="157"/>
      <c r="L3" s="403" t="s">
        <v>776</v>
      </c>
      <c r="M3" s="404"/>
      <c r="N3" s="405"/>
    </row>
    <row r="4" spans="1:19" s="157" customFormat="1" ht="51.75" thickBot="1" x14ac:dyDescent="0.25">
      <c r="A4" s="293" t="s">
        <v>799</v>
      </c>
      <c r="B4" s="293" t="s">
        <v>816</v>
      </c>
      <c r="C4" s="166" t="s">
        <v>633</v>
      </c>
      <c r="D4" s="167"/>
      <c r="E4" s="234" t="s">
        <v>749</v>
      </c>
      <c r="F4" s="234" t="s">
        <v>750</v>
      </c>
      <c r="G4" s="234" t="s">
        <v>751</v>
      </c>
      <c r="H4" s="294" t="s">
        <v>747</v>
      </c>
      <c r="I4" s="234" t="s">
        <v>748</v>
      </c>
      <c r="J4" s="234" t="s">
        <v>745</v>
      </c>
      <c r="K4" s="354" t="s">
        <v>641</v>
      </c>
      <c r="L4" s="231" t="s">
        <v>642</v>
      </c>
      <c r="M4" s="231" t="s">
        <v>643</v>
      </c>
      <c r="N4" s="230" t="s">
        <v>644</v>
      </c>
      <c r="O4" s="294" t="s">
        <v>746</v>
      </c>
      <c r="P4" s="168" t="s">
        <v>733</v>
      </c>
      <c r="Q4" s="230" t="s">
        <v>817</v>
      </c>
    </row>
    <row r="5" spans="1:19" ht="13.5" thickBot="1" x14ac:dyDescent="0.25">
      <c r="A5" s="309" t="s">
        <v>819</v>
      </c>
      <c r="B5" s="309" t="s">
        <v>825</v>
      </c>
      <c r="C5" s="310" t="s">
        <v>965</v>
      </c>
      <c r="D5" s="310"/>
      <c r="E5" s="311">
        <v>0</v>
      </c>
      <c r="F5" s="311">
        <v>0</v>
      </c>
      <c r="G5" s="311">
        <v>241171.15</v>
      </c>
      <c r="H5" s="311">
        <v>0</v>
      </c>
      <c r="I5" s="311">
        <f>SUM(H155)</f>
        <v>0</v>
      </c>
      <c r="J5" s="311">
        <f>I5-H5</f>
        <v>0</v>
      </c>
      <c r="K5" s="355" t="e">
        <f>(I5-H5)/H5</f>
        <v>#DIV/0!</v>
      </c>
      <c r="L5" s="311"/>
      <c r="M5" s="311"/>
      <c r="N5" s="311"/>
      <c r="O5" s="311"/>
      <c r="P5" s="312"/>
      <c r="Q5" s="307">
        <f>H5-G5</f>
        <v>-241171.15</v>
      </c>
    </row>
    <row r="6" spans="1:19" s="157" customFormat="1" x14ac:dyDescent="0.2">
      <c r="K6" s="356"/>
    </row>
    <row r="7" spans="1:19" ht="13.5" thickBot="1" x14ac:dyDescent="0.25">
      <c r="A7" s="309" t="s">
        <v>819</v>
      </c>
      <c r="B7" s="309" t="s">
        <v>825</v>
      </c>
      <c r="C7" s="310" t="s">
        <v>818</v>
      </c>
      <c r="D7" s="310"/>
      <c r="E7" s="311">
        <v>10749790.51</v>
      </c>
      <c r="F7" s="311">
        <v>10747563.710000001</v>
      </c>
      <c r="G7" s="311">
        <v>10500104.52</v>
      </c>
      <c r="H7" s="311">
        <f>SUM(E7:G7)/3</f>
        <v>10665819.58</v>
      </c>
      <c r="I7" s="311">
        <f>SUM(F7:H7)/3</f>
        <v>10637829.270000001</v>
      </c>
      <c r="J7" s="311">
        <f>I7-H7</f>
        <v>-27990.309999998659</v>
      </c>
      <c r="K7" s="355">
        <f>(I7-H7)/H7</f>
        <v>-2.6242999696417758E-3</v>
      </c>
      <c r="L7" s="311"/>
      <c r="M7" s="311"/>
      <c r="N7" s="311"/>
      <c r="O7" s="311"/>
      <c r="P7" s="312" t="s">
        <v>1108</v>
      </c>
      <c r="Q7" s="307">
        <f>H7-G7</f>
        <v>165715.06000000052</v>
      </c>
    </row>
    <row r="8" spans="1:19" s="157" customFormat="1" x14ac:dyDescent="0.2">
      <c r="K8" s="356"/>
    </row>
    <row r="9" spans="1:19" ht="26.25" thickBot="1" x14ac:dyDescent="0.25">
      <c r="A9" s="309" t="s">
        <v>821</v>
      </c>
      <c r="B9" s="309" t="s">
        <v>822</v>
      </c>
      <c r="C9" s="310" t="s">
        <v>823</v>
      </c>
      <c r="D9" s="310"/>
      <c r="E9" s="311">
        <v>1801162.6</v>
      </c>
      <c r="F9" s="311">
        <v>2048259.25</v>
      </c>
      <c r="G9" s="311">
        <v>1833643.54</v>
      </c>
      <c r="H9" s="311">
        <v>1625381</v>
      </c>
      <c r="I9" s="311">
        <f>SUM(E9:H9)/4</f>
        <v>1827111.5975000001</v>
      </c>
      <c r="J9" s="311">
        <f>I9-H9</f>
        <v>201730.59750000015</v>
      </c>
      <c r="K9" s="355">
        <f>(I9-H9)/H9</f>
        <v>0.1241128064742975</v>
      </c>
      <c r="L9" s="311"/>
      <c r="M9" s="311"/>
      <c r="N9" s="311"/>
      <c r="O9" s="311"/>
      <c r="P9" s="348" t="s">
        <v>1130</v>
      </c>
      <c r="Q9" s="307">
        <f>H9-G9</f>
        <v>-208262.54000000004</v>
      </c>
    </row>
    <row r="10" spans="1:19" s="157" customFormat="1" x14ac:dyDescent="0.2">
      <c r="K10" s="356"/>
    </row>
    <row r="11" spans="1:19" ht="13.5" thickBot="1" x14ac:dyDescent="0.25">
      <c r="A11" s="309" t="s">
        <v>821</v>
      </c>
      <c r="B11" s="309" t="s">
        <v>822</v>
      </c>
      <c r="C11" s="310" t="s">
        <v>1131</v>
      </c>
      <c r="D11" s="310"/>
      <c r="E11" s="311"/>
      <c r="F11" s="311"/>
      <c r="G11" s="311"/>
      <c r="H11" s="311">
        <v>372390</v>
      </c>
      <c r="I11" s="311">
        <v>224962</v>
      </c>
      <c r="J11" s="311">
        <f>I11-H11</f>
        <v>-147428</v>
      </c>
      <c r="K11" s="355">
        <f>(I11-H11)/H11</f>
        <v>-0.39589677488654368</v>
      </c>
      <c r="L11" s="311"/>
      <c r="M11" s="311"/>
      <c r="N11" s="311"/>
      <c r="O11" s="311"/>
      <c r="P11" s="348"/>
      <c r="Q11" s="307">
        <f>H11-G11</f>
        <v>372390</v>
      </c>
    </row>
    <row r="12" spans="1:19" s="157" customFormat="1" x14ac:dyDescent="0.2">
      <c r="K12" s="356"/>
    </row>
    <row r="13" spans="1:19" ht="13.5" customHeight="1" thickBot="1" x14ac:dyDescent="0.25">
      <c r="A13" s="299" t="str">
        <f>ATHL40!C1</f>
        <v>ATHL40</v>
      </c>
      <c r="B13" s="299" t="str">
        <f>ATHL40!C2</f>
        <v>Athletics Administration Office</v>
      </c>
      <c r="C13" s="300" t="s">
        <v>697</v>
      </c>
      <c r="D13" s="301"/>
      <c r="E13" s="302">
        <f>ATHL40!E8</f>
        <v>423215.85</v>
      </c>
      <c r="F13" s="302">
        <f>ATHL40!F8</f>
        <v>441391.74999999994</v>
      </c>
      <c r="G13" s="302">
        <f>SUM(ATHL40!G8)</f>
        <v>346930</v>
      </c>
      <c r="H13" s="302">
        <f>ATHL40!H8</f>
        <v>459904.32100000011</v>
      </c>
      <c r="I13" s="302">
        <f>ATHL40!I8</f>
        <v>459904.32100000011</v>
      </c>
      <c r="J13" s="302">
        <f>I13-H13</f>
        <v>0</v>
      </c>
      <c r="K13" s="357">
        <f>(I13-H13)/H13</f>
        <v>0</v>
      </c>
      <c r="L13" s="302">
        <f>ATHL40!L8</f>
        <v>0</v>
      </c>
      <c r="M13" s="302">
        <f>ATHL40!M8</f>
        <v>0</v>
      </c>
      <c r="N13" s="302">
        <f>ATHL40!N8</f>
        <v>0</v>
      </c>
      <c r="O13" s="302">
        <f>ATHL40!O8</f>
        <v>0</v>
      </c>
      <c r="P13" s="308"/>
      <c r="Q13" s="157"/>
      <c r="R13" s="157"/>
      <c r="S13" s="157"/>
    </row>
    <row r="14" spans="1:19" ht="13.5" thickBot="1" x14ac:dyDescent="0.25">
      <c r="A14" s="176" t="str">
        <f t="shared" ref="A14:B16" si="0">A13</f>
        <v>ATHL40</v>
      </c>
      <c r="B14" s="176" t="str">
        <f t="shared" si="0"/>
        <v>Athletics Administration Office</v>
      </c>
      <c r="C14" s="183" t="s">
        <v>704</v>
      </c>
      <c r="D14" s="184"/>
      <c r="E14" s="185">
        <f>ATHL40!E18</f>
        <v>52681.42</v>
      </c>
      <c r="F14" s="185">
        <f>ATHL40!F18</f>
        <v>3749.51</v>
      </c>
      <c r="G14" s="185">
        <f>ATHL40!G18</f>
        <v>2120.12</v>
      </c>
      <c r="H14" s="185">
        <f>ATHL40!H18</f>
        <v>509</v>
      </c>
      <c r="I14" s="185">
        <f>ATHL40!I18</f>
        <v>500</v>
      </c>
      <c r="J14" s="185">
        <f>I14-H14</f>
        <v>-9</v>
      </c>
      <c r="K14" s="358">
        <f>(I14-H14)/H14</f>
        <v>-1.768172888015717E-2</v>
      </c>
      <c r="L14" s="185">
        <f>ATHL40!L18</f>
        <v>0</v>
      </c>
      <c r="M14" s="185">
        <f>ATHL40!M18</f>
        <v>0</v>
      </c>
      <c r="N14" s="185">
        <f>ATHL40!N18</f>
        <v>0</v>
      </c>
      <c r="O14" s="185">
        <f>ATHL40!O18</f>
        <v>0</v>
      </c>
      <c r="P14" s="187"/>
      <c r="Q14" s="157"/>
      <c r="R14" s="157"/>
      <c r="S14" s="157"/>
    </row>
    <row r="15" spans="1:19" ht="13.5" thickBot="1" x14ac:dyDescent="0.25">
      <c r="A15" s="176" t="str">
        <f t="shared" si="0"/>
        <v>ATHL40</v>
      </c>
      <c r="B15" s="176" t="str">
        <f t="shared" si="0"/>
        <v>Athletics Administration Office</v>
      </c>
      <c r="C15" s="177" t="s">
        <v>22</v>
      </c>
      <c r="D15" s="201"/>
      <c r="E15" s="180">
        <f>ATHL40!E62</f>
        <v>258223.41999999995</v>
      </c>
      <c r="F15" s="180">
        <f>ATHL40!F62</f>
        <v>295642.36</v>
      </c>
      <c r="G15" s="180">
        <f>ATHL40!G62</f>
        <v>324081.49</v>
      </c>
      <c r="H15" s="180">
        <f>ATHL40!H62</f>
        <v>282258.63</v>
      </c>
      <c r="I15" s="180">
        <f>ATHL40!I62</f>
        <v>281638</v>
      </c>
      <c r="J15" s="180">
        <f>I15-H15</f>
        <v>-620.63000000000466</v>
      </c>
      <c r="K15" s="359">
        <f>(I15-H15)/H15</f>
        <v>-2.1987990234346587E-3</v>
      </c>
      <c r="L15" s="180">
        <f>ATHL40!L62</f>
        <v>0</v>
      </c>
      <c r="M15" s="180">
        <f>ATHL40!M62</f>
        <v>0</v>
      </c>
      <c r="N15" s="180">
        <f>ATHL40!N62</f>
        <v>0</v>
      </c>
      <c r="O15" s="180">
        <f>ATHL40!O62</f>
        <v>6450</v>
      </c>
      <c r="P15" s="187"/>
    </row>
    <row r="16" spans="1:19" ht="13.5" thickBot="1" x14ac:dyDescent="0.25">
      <c r="A16" s="303" t="str">
        <f t="shared" si="0"/>
        <v>ATHL40</v>
      </c>
      <c r="B16" s="303" t="str">
        <f t="shared" si="0"/>
        <v>Athletics Administration Office</v>
      </c>
      <c r="C16" s="304" t="s">
        <v>702</v>
      </c>
      <c r="D16" s="304"/>
      <c r="E16" s="305">
        <f>E14+E15</f>
        <v>310904.83999999997</v>
      </c>
      <c r="F16" s="305">
        <f>F14+F15</f>
        <v>299391.87</v>
      </c>
      <c r="G16" s="305">
        <f>G14+G15</f>
        <v>326201.61</v>
      </c>
      <c r="H16" s="305">
        <f>SUM(H14:H15)</f>
        <v>282767.63</v>
      </c>
      <c r="I16" s="305">
        <f>I14+I15</f>
        <v>282138</v>
      </c>
      <c r="J16" s="305">
        <f>I16-H16</f>
        <v>-629.63000000000466</v>
      </c>
      <c r="K16" s="360">
        <f>(I16-H16)/H16</f>
        <v>-2.226669297330832E-3</v>
      </c>
      <c r="L16" s="305">
        <f>L14+L15</f>
        <v>0</v>
      </c>
      <c r="M16" s="305">
        <f>M14+M15</f>
        <v>0</v>
      </c>
      <c r="N16" s="305">
        <f>N14+N15</f>
        <v>0</v>
      </c>
      <c r="O16" s="305">
        <f>O14+O15</f>
        <v>6450</v>
      </c>
      <c r="P16" s="306"/>
      <c r="Q16" s="307">
        <f>H16-G16</f>
        <v>-43433.979999999981</v>
      </c>
    </row>
    <row r="18" spans="1:19" ht="13.5" customHeight="1" thickBot="1" x14ac:dyDescent="0.25">
      <c r="A18" s="299" t="str">
        <f>ATHL42!C1</f>
        <v>ATHL42</v>
      </c>
      <c r="B18" s="299" t="str">
        <f>ATHL42!C2</f>
        <v>Athletic Facilities</v>
      </c>
      <c r="C18" s="300" t="s">
        <v>697</v>
      </c>
      <c r="D18" s="301"/>
      <c r="E18" s="302">
        <f>ATHL42!E8</f>
        <v>173777.9</v>
      </c>
      <c r="F18" s="302">
        <f>ATHL42!F8</f>
        <v>170534.71</v>
      </c>
      <c r="G18" s="302">
        <f>ATHL42!G8</f>
        <v>127750.79</v>
      </c>
      <c r="H18" s="302">
        <f>ATHL42!H8</f>
        <v>170534.288</v>
      </c>
      <c r="I18" s="302">
        <f>ATHL42!I8</f>
        <v>170534.288</v>
      </c>
      <c r="J18" s="302">
        <f>I18-H18</f>
        <v>0</v>
      </c>
      <c r="K18" s="357">
        <f>(I18-H18)/H18</f>
        <v>0</v>
      </c>
      <c r="L18" s="302">
        <f>ATHL42!L8</f>
        <v>0</v>
      </c>
      <c r="M18" s="302">
        <f>ATHL42!M8</f>
        <v>0</v>
      </c>
      <c r="N18" s="302">
        <f>ATHL42!N8</f>
        <v>0</v>
      </c>
      <c r="O18" s="302">
        <f>ATHL42!O8</f>
        <v>0</v>
      </c>
      <c r="P18" s="308"/>
      <c r="Q18" s="157"/>
      <c r="R18" s="157"/>
      <c r="S18" s="157"/>
    </row>
    <row r="19" spans="1:19" ht="13.5" thickBot="1" x14ac:dyDescent="0.25">
      <c r="A19" s="176" t="str">
        <f t="shared" ref="A19:B21" si="1">A18</f>
        <v>ATHL42</v>
      </c>
      <c r="B19" s="176" t="str">
        <f t="shared" si="1"/>
        <v>Athletic Facilities</v>
      </c>
      <c r="C19" s="183" t="s">
        <v>704</v>
      </c>
      <c r="D19" s="184"/>
      <c r="E19" s="185">
        <f>ATHL42!E19</f>
        <v>7184.75</v>
      </c>
      <c r="F19" s="185">
        <f>ATHL42!F19</f>
        <v>7505.71</v>
      </c>
      <c r="G19" s="185">
        <f>ATHL42!G19</f>
        <v>20894.88</v>
      </c>
      <c r="H19" s="185">
        <f>ATHL42!H19</f>
        <v>9675</v>
      </c>
      <c r="I19" s="185">
        <f>ATHL42!I19</f>
        <v>42000</v>
      </c>
      <c r="J19" s="185">
        <f>I19-H19</f>
        <v>32325</v>
      </c>
      <c r="K19" s="358">
        <f>(I19-H19)/H19</f>
        <v>3.3410852713178296</v>
      </c>
      <c r="L19" s="185">
        <f>ATHL42!L19</f>
        <v>0</v>
      </c>
      <c r="M19" s="185">
        <f>ATHL42!M19</f>
        <v>0</v>
      </c>
      <c r="N19" s="185">
        <f>ATHL42!N19</f>
        <v>0</v>
      </c>
      <c r="O19" s="185">
        <f>ATHL42!O19</f>
        <v>3000</v>
      </c>
      <c r="P19" s="187"/>
      <c r="Q19" s="157"/>
      <c r="R19" s="157"/>
      <c r="S19" s="157"/>
    </row>
    <row r="20" spans="1:19" ht="13.5" thickBot="1" x14ac:dyDescent="0.25">
      <c r="A20" s="176" t="str">
        <f t="shared" si="1"/>
        <v>ATHL42</v>
      </c>
      <c r="B20" s="176" t="str">
        <f t="shared" si="1"/>
        <v>Athletic Facilities</v>
      </c>
      <c r="C20" s="177" t="s">
        <v>22</v>
      </c>
      <c r="D20" s="201"/>
      <c r="E20" s="180">
        <f>ATHL42!E49</f>
        <v>242850.14</v>
      </c>
      <c r="F20" s="180">
        <f>ATHL42!F49</f>
        <v>226787.06</v>
      </c>
      <c r="G20" s="180">
        <f>ATHL42!G49</f>
        <v>223797.05999999997</v>
      </c>
      <c r="H20" s="180">
        <f>ATHL42!H49</f>
        <v>209438</v>
      </c>
      <c r="I20" s="180">
        <f>ATHL42!I49</f>
        <v>230640</v>
      </c>
      <c r="J20" s="180">
        <f>I20-H20</f>
        <v>21202</v>
      </c>
      <c r="K20" s="359">
        <f>(I20-H20)/H20</f>
        <v>0.10123282307890641</v>
      </c>
      <c r="L20" s="180">
        <f>ATHL42!L49</f>
        <v>0</v>
      </c>
      <c r="M20" s="180">
        <f>ATHL42!M49</f>
        <v>0</v>
      </c>
      <c r="N20" s="180">
        <f>ATHL42!N49</f>
        <v>0</v>
      </c>
      <c r="O20" s="180">
        <f>ATHL42!O49</f>
        <v>5171</v>
      </c>
      <c r="P20" s="187"/>
    </row>
    <row r="21" spans="1:19" ht="13.5" thickBot="1" x14ac:dyDescent="0.25">
      <c r="A21" s="303" t="str">
        <f t="shared" si="1"/>
        <v>ATHL42</v>
      </c>
      <c r="B21" s="303" t="str">
        <f t="shared" si="1"/>
        <v>Athletic Facilities</v>
      </c>
      <c r="C21" s="304" t="s">
        <v>702</v>
      </c>
      <c r="D21" s="304"/>
      <c r="E21" s="305">
        <f>E19+E20</f>
        <v>250034.89</v>
      </c>
      <c r="F21" s="305">
        <f>F19+F20</f>
        <v>234292.77</v>
      </c>
      <c r="G21" s="305">
        <f>G19+G20</f>
        <v>244691.93999999997</v>
      </c>
      <c r="H21" s="305">
        <f>H19+H20</f>
        <v>219113</v>
      </c>
      <c r="I21" s="305">
        <f>I19+I20</f>
        <v>272640</v>
      </c>
      <c r="J21" s="305">
        <f>I21-H21</f>
        <v>53527</v>
      </c>
      <c r="K21" s="360">
        <f>(I21-H21)/H21</f>
        <v>0.24428947620634103</v>
      </c>
      <c r="L21" s="305">
        <f>L19+L20</f>
        <v>0</v>
      </c>
      <c r="M21" s="305">
        <f>M19+M20</f>
        <v>0</v>
      </c>
      <c r="N21" s="305">
        <f>N19+N20</f>
        <v>0</v>
      </c>
      <c r="O21" s="305">
        <f>O19+O20</f>
        <v>8171</v>
      </c>
      <c r="P21" s="306"/>
      <c r="Q21" s="307">
        <f>H21-G21</f>
        <v>-25578.939999999973</v>
      </c>
    </row>
    <row r="23" spans="1:19" ht="13.5" customHeight="1" thickBot="1" x14ac:dyDescent="0.25">
      <c r="A23" s="299" t="str">
        <f>ATHL43!C1</f>
        <v>ATHL43</v>
      </c>
      <c r="B23" s="299" t="str">
        <f>ATHL43!C2</f>
        <v>Athletic Training</v>
      </c>
      <c r="C23" s="300" t="s">
        <v>697</v>
      </c>
      <c r="D23" s="301"/>
      <c r="E23" s="302">
        <f>ATHL43!E8</f>
        <v>191852.9</v>
      </c>
      <c r="F23" s="302">
        <f>ATHL43!F8</f>
        <v>192650.33000000002</v>
      </c>
      <c r="G23" s="302">
        <f>ATHL43!G8</f>
        <v>189697.62</v>
      </c>
      <c r="H23" s="302">
        <f>ATHL43!H8</f>
        <v>192650.32926400003</v>
      </c>
      <c r="I23" s="302">
        <f>ATHL43!I8</f>
        <v>192650.32926400003</v>
      </c>
      <c r="J23" s="302">
        <f>I23-H23</f>
        <v>0</v>
      </c>
      <c r="K23" s="357">
        <f>(I23-H23)/H23</f>
        <v>0</v>
      </c>
      <c r="L23" s="302">
        <f>ATHL43!L8</f>
        <v>0</v>
      </c>
      <c r="M23" s="302">
        <f>ATHL43!M8</f>
        <v>0</v>
      </c>
      <c r="N23" s="302">
        <f>ATHL43!N8</f>
        <v>0</v>
      </c>
      <c r="O23" s="302">
        <f>ATHL43!O8</f>
        <v>0</v>
      </c>
      <c r="P23" s="308"/>
      <c r="Q23" s="157"/>
      <c r="R23" s="157"/>
      <c r="S23" s="157"/>
    </row>
    <row r="24" spans="1:19" ht="13.5" thickBot="1" x14ac:dyDescent="0.25">
      <c r="A24" s="323" t="str">
        <f>A23</f>
        <v>ATHL43</v>
      </c>
      <c r="B24" s="323" t="str">
        <f>B23</f>
        <v>Athletic Training</v>
      </c>
      <c r="C24" s="324" t="s">
        <v>960</v>
      </c>
      <c r="D24" s="184"/>
      <c r="E24" s="325">
        <f>ATHL43!E10</f>
        <v>15749.13</v>
      </c>
      <c r="F24" s="325">
        <f>ATHL43!F10</f>
        <v>54926.04</v>
      </c>
      <c r="G24" s="325">
        <f>ATHL43!G10</f>
        <v>23854.68</v>
      </c>
      <c r="H24" s="325">
        <f>ATHL43!H10</f>
        <v>0</v>
      </c>
      <c r="I24" s="325">
        <f>ATHL43!I10</f>
        <v>0</v>
      </c>
      <c r="J24" s="325">
        <f>I24-H24</f>
        <v>0</v>
      </c>
      <c r="K24" s="361" t="e">
        <f>(I24-H24)/H24</f>
        <v>#DIV/0!</v>
      </c>
      <c r="L24" s="325">
        <f>ATHL43!L10</f>
        <v>0</v>
      </c>
      <c r="M24" s="325">
        <f>ATHL43!M10</f>
        <v>0</v>
      </c>
      <c r="N24" s="325">
        <f>ATHL43!N10</f>
        <v>0</v>
      </c>
      <c r="O24" s="325">
        <f>ATHL43!O10</f>
        <v>0</v>
      </c>
      <c r="P24" s="326"/>
      <c r="Q24" s="157"/>
      <c r="R24" s="157"/>
      <c r="S24" s="157"/>
    </row>
    <row r="25" spans="1:19" ht="13.5" thickBot="1" x14ac:dyDescent="0.25">
      <c r="A25" s="176" t="str">
        <f>A24</f>
        <v>ATHL43</v>
      </c>
      <c r="B25" s="176" t="str">
        <f>B24</f>
        <v>Athletic Training</v>
      </c>
      <c r="C25" s="183" t="s">
        <v>704</v>
      </c>
      <c r="D25" s="184"/>
      <c r="E25" s="185">
        <f>ATHL43!E17</f>
        <v>98856.46</v>
      </c>
      <c r="F25" s="185">
        <f>ATHL43!F17</f>
        <v>36411.519999999997</v>
      </c>
      <c r="G25" s="185">
        <f>ATHL43!G17</f>
        <v>98637.57</v>
      </c>
      <c r="H25" s="185">
        <f>ATHL43!H17</f>
        <v>125799</v>
      </c>
      <c r="I25" s="185">
        <f>ATHL43!I17</f>
        <v>153418</v>
      </c>
      <c r="J25" s="185">
        <f>I25-H25</f>
        <v>27619</v>
      </c>
      <c r="K25" s="358">
        <f>(I25-H25)/H25</f>
        <v>0.21954864506077154</v>
      </c>
      <c r="L25" s="185">
        <f>ATHL43!L17</f>
        <v>0</v>
      </c>
      <c r="M25" s="185">
        <f>ATHL43!M17</f>
        <v>0</v>
      </c>
      <c r="N25" s="185">
        <f>ATHL43!N17</f>
        <v>0</v>
      </c>
      <c r="O25" s="185">
        <f>ATHL43!O17</f>
        <v>0</v>
      </c>
      <c r="P25" s="187"/>
      <c r="Q25" s="157"/>
      <c r="R25" s="157"/>
      <c r="S25" s="157"/>
    </row>
    <row r="26" spans="1:19" ht="13.5" thickBot="1" x14ac:dyDescent="0.25">
      <c r="A26" s="176" t="str">
        <f t="shared" ref="A26:B27" si="2">A25</f>
        <v>ATHL43</v>
      </c>
      <c r="B26" s="176" t="str">
        <f t="shared" si="2"/>
        <v>Athletic Training</v>
      </c>
      <c r="C26" s="177" t="s">
        <v>22</v>
      </c>
      <c r="D26" s="201"/>
      <c r="E26" s="180">
        <f>ATHL43!E47</f>
        <v>44242.240000000005</v>
      </c>
      <c r="F26" s="180">
        <f>ATHL43!F47</f>
        <v>39594.280000000006</v>
      </c>
      <c r="G26" s="180">
        <f>ATHL43!G47</f>
        <v>40527.369999999995</v>
      </c>
      <c r="H26" s="180">
        <f>ATHL43!H47</f>
        <v>41073</v>
      </c>
      <c r="I26" s="180">
        <f>ATHL43!I47</f>
        <v>52175</v>
      </c>
      <c r="J26" s="180">
        <f>I26-H26</f>
        <v>11102</v>
      </c>
      <c r="K26" s="359">
        <f>(I26-H26)/H26</f>
        <v>0.27029922333406375</v>
      </c>
      <c r="L26" s="180">
        <f>ATHL43!L47</f>
        <v>0</v>
      </c>
      <c r="M26" s="180">
        <f>ATHL43!M47</f>
        <v>0</v>
      </c>
      <c r="N26" s="180">
        <f>ATHL43!N47</f>
        <v>0</v>
      </c>
      <c r="O26" s="180">
        <f>ATHL43!O47</f>
        <v>1565</v>
      </c>
      <c r="P26" s="187"/>
    </row>
    <row r="27" spans="1:19" ht="13.5" thickBot="1" x14ac:dyDescent="0.25">
      <c r="A27" s="303" t="str">
        <f t="shared" si="2"/>
        <v>ATHL43</v>
      </c>
      <c r="B27" s="303" t="str">
        <f t="shared" si="2"/>
        <v>Athletic Training</v>
      </c>
      <c r="C27" s="304" t="s">
        <v>702</v>
      </c>
      <c r="D27" s="304"/>
      <c r="E27" s="305">
        <f>E25+E26+E24</f>
        <v>158847.83000000002</v>
      </c>
      <c r="F27" s="305">
        <f t="shared" ref="F27:I27" si="3">F25+F26+F24</f>
        <v>130931.84</v>
      </c>
      <c r="G27" s="305">
        <f t="shared" si="3"/>
        <v>163019.62</v>
      </c>
      <c r="H27" s="305">
        <f t="shared" si="3"/>
        <v>166872</v>
      </c>
      <c r="I27" s="305">
        <f t="shared" si="3"/>
        <v>205593</v>
      </c>
      <c r="J27" s="305">
        <f>I27-H27</f>
        <v>38721</v>
      </c>
      <c r="K27" s="360">
        <f>(I27-H27)/H27</f>
        <v>0.23204012656407305</v>
      </c>
      <c r="L27" s="305">
        <f>L25+L26</f>
        <v>0</v>
      </c>
      <c r="M27" s="305">
        <f>M25+M26</f>
        <v>0</v>
      </c>
      <c r="N27" s="305">
        <f>N25+N26</f>
        <v>0</v>
      </c>
      <c r="O27" s="305">
        <f>O25+O26</f>
        <v>1565</v>
      </c>
      <c r="P27" s="306"/>
      <c r="Q27" s="307">
        <f>H27-G27</f>
        <v>3852.3800000000047</v>
      </c>
    </row>
    <row r="29" spans="1:19" ht="13.5" customHeight="1" thickBot="1" x14ac:dyDescent="0.25">
      <c r="A29" s="299" t="str">
        <f>ATHL44!C1</f>
        <v>ATHL44</v>
      </c>
      <c r="B29" s="299" t="str">
        <f>ATHL44!C2</f>
        <v>Athletic Sports Information</v>
      </c>
      <c r="C29" s="300" t="s">
        <v>697</v>
      </c>
      <c r="D29" s="301"/>
      <c r="E29" s="302">
        <f>ATHL44!E8</f>
        <v>134127.25</v>
      </c>
      <c r="F29" s="302">
        <f>ATHL44!F8</f>
        <v>133615.31</v>
      </c>
      <c r="G29" s="302">
        <f>ATHL44!G8</f>
        <v>135711.13</v>
      </c>
      <c r="H29" s="302">
        <f>ATHL44!H8</f>
        <v>133615.03200000001</v>
      </c>
      <c r="I29" s="302">
        <f>ATHL44!I8</f>
        <v>133615.03200000001</v>
      </c>
      <c r="J29" s="302">
        <f>I29-H29</f>
        <v>0</v>
      </c>
      <c r="K29" s="357">
        <f>(I29-H29)/H29</f>
        <v>0</v>
      </c>
      <c r="L29" s="302">
        <f>ATHL44!L8</f>
        <v>0</v>
      </c>
      <c r="M29" s="302">
        <f>ATHL44!M8</f>
        <v>0</v>
      </c>
      <c r="N29" s="302">
        <f>ATHL44!N8</f>
        <v>0</v>
      </c>
      <c r="O29" s="302">
        <f>ATHL44!O8</f>
        <v>0</v>
      </c>
      <c r="P29" s="308"/>
      <c r="Q29" s="157"/>
      <c r="R29" s="157"/>
      <c r="S29" s="157"/>
    </row>
    <row r="30" spans="1:19" ht="26.25" thickBot="1" x14ac:dyDescent="0.25">
      <c r="A30" s="176" t="str">
        <f t="shared" ref="A30:B32" si="4">A29</f>
        <v>ATHL44</v>
      </c>
      <c r="B30" s="176" t="str">
        <f t="shared" si="4"/>
        <v>Athletic Sports Information</v>
      </c>
      <c r="C30" s="183" t="s">
        <v>704</v>
      </c>
      <c r="D30" s="184"/>
      <c r="E30" s="185">
        <f>ATHL44!E18</f>
        <v>23622.43</v>
      </c>
      <c r="F30" s="185">
        <f>ATHL44!F18</f>
        <v>9329.630000000001</v>
      </c>
      <c r="G30" s="185">
        <f>ATHL44!G18</f>
        <v>12099.1</v>
      </c>
      <c r="H30" s="185">
        <f>ATHL44!H18</f>
        <v>10000</v>
      </c>
      <c r="I30" s="185">
        <f>ATHL44!I18</f>
        <v>20000</v>
      </c>
      <c r="J30" s="185">
        <f>I30-H30</f>
        <v>10000</v>
      </c>
      <c r="K30" s="358">
        <f>(I30-H30)/H30</f>
        <v>1</v>
      </c>
      <c r="L30" s="185">
        <f>ATHL44!L18</f>
        <v>0</v>
      </c>
      <c r="M30" s="185">
        <f>ATHL44!M18</f>
        <v>0</v>
      </c>
      <c r="N30" s="185">
        <f>ATHL44!N18</f>
        <v>0</v>
      </c>
      <c r="O30" s="185">
        <f>ATHL44!O18</f>
        <v>0</v>
      </c>
      <c r="P30" s="187" t="s">
        <v>1068</v>
      </c>
      <c r="Q30" s="157"/>
      <c r="R30" s="157"/>
      <c r="S30" s="157"/>
    </row>
    <row r="31" spans="1:19" ht="13.5" thickBot="1" x14ac:dyDescent="0.25">
      <c r="A31" s="176" t="str">
        <f t="shared" si="4"/>
        <v>ATHL44</v>
      </c>
      <c r="B31" s="176" t="str">
        <f t="shared" si="4"/>
        <v>Athletic Sports Information</v>
      </c>
      <c r="C31" s="177" t="s">
        <v>22</v>
      </c>
      <c r="D31" s="201"/>
      <c r="E31" s="180">
        <f>ATHL44!E41</f>
        <v>24897.819999999996</v>
      </c>
      <c r="F31" s="180">
        <f>ATHL44!F41</f>
        <v>23004.42</v>
      </c>
      <c r="G31" s="180">
        <f>ATHL44!G41</f>
        <v>23650.170000000002</v>
      </c>
      <c r="H31" s="180">
        <f>ATHL44!H41</f>
        <v>21918.9</v>
      </c>
      <c r="I31" s="180">
        <f>ATHL44!I41</f>
        <v>20793</v>
      </c>
      <c r="J31" s="180">
        <f>I31-H31</f>
        <v>-1125.9000000000015</v>
      </c>
      <c r="K31" s="359">
        <f>(I31-H31)/H31</f>
        <v>-5.1366628799802971E-2</v>
      </c>
      <c r="L31" s="180">
        <f>ATHL44!L41</f>
        <v>0</v>
      </c>
      <c r="M31" s="180">
        <f>ATHL44!M41</f>
        <v>0</v>
      </c>
      <c r="N31" s="180">
        <f>ATHL44!N41</f>
        <v>0</v>
      </c>
      <c r="O31" s="180">
        <f>ATHL44!O41</f>
        <v>0</v>
      </c>
      <c r="P31" s="187"/>
    </row>
    <row r="32" spans="1:19" ht="13.5" thickBot="1" x14ac:dyDescent="0.25">
      <c r="A32" s="303" t="str">
        <f t="shared" si="4"/>
        <v>ATHL44</v>
      </c>
      <c r="B32" s="303" t="str">
        <f t="shared" si="4"/>
        <v>Athletic Sports Information</v>
      </c>
      <c r="C32" s="304" t="s">
        <v>702</v>
      </c>
      <c r="D32" s="304"/>
      <c r="E32" s="305">
        <f>E30+E31</f>
        <v>48520.25</v>
      </c>
      <c r="F32" s="305">
        <f>F30+F31</f>
        <v>32334.05</v>
      </c>
      <c r="G32" s="305">
        <f>G30+G31</f>
        <v>35749.270000000004</v>
      </c>
      <c r="H32" s="305">
        <f>H30+H31</f>
        <v>31918.9</v>
      </c>
      <c r="I32" s="305">
        <f>I30+I31</f>
        <v>40793</v>
      </c>
      <c r="J32" s="305">
        <f>I32-H32</f>
        <v>8874.0999999999985</v>
      </c>
      <c r="K32" s="360">
        <f>(I32-H32)/H32</f>
        <v>0.27802023252681007</v>
      </c>
      <c r="L32" s="305">
        <f>L30+L31</f>
        <v>0</v>
      </c>
      <c r="M32" s="305">
        <f>M30+M31</f>
        <v>0</v>
      </c>
      <c r="N32" s="305">
        <f>N30+N31</f>
        <v>0</v>
      </c>
      <c r="O32" s="305">
        <f>O30+O31</f>
        <v>0</v>
      </c>
      <c r="P32" s="306"/>
      <c r="Q32" s="307">
        <f>H32-G32</f>
        <v>-3830.3700000000026</v>
      </c>
    </row>
    <row r="34" spans="1:19" ht="13.5" customHeight="1" thickBot="1" x14ac:dyDescent="0.25">
      <c r="A34" s="299" t="str">
        <f>ATHL45!C1</f>
        <v>ATHL45</v>
      </c>
      <c r="B34" s="299" t="str">
        <f>ATHL45!C2</f>
        <v>Athletic Promotion and Marketing</v>
      </c>
      <c r="C34" s="300" t="s">
        <v>697</v>
      </c>
      <c r="D34" s="301"/>
      <c r="E34" s="302">
        <f>ATHL45!E8</f>
        <v>0</v>
      </c>
      <c r="F34" s="302">
        <f>ATHL45!F8</f>
        <v>0</v>
      </c>
      <c r="G34" s="302">
        <f>ATHL45!G8</f>
        <v>0</v>
      </c>
      <c r="H34" s="302">
        <f>ATHL45!H8</f>
        <v>0</v>
      </c>
      <c r="I34" s="302">
        <f>ATHL45!I8</f>
        <v>0</v>
      </c>
      <c r="J34" s="302">
        <f>I34-H34</f>
        <v>0</v>
      </c>
      <c r="K34" s="357" t="e">
        <f>(I34-H34)/H34</f>
        <v>#DIV/0!</v>
      </c>
      <c r="L34" s="302">
        <f>ATHL45!L8</f>
        <v>0</v>
      </c>
      <c r="M34" s="302">
        <f>ATHL45!M8</f>
        <v>0</v>
      </c>
      <c r="N34" s="302">
        <f>ATHL45!N8</f>
        <v>0</v>
      </c>
      <c r="O34" s="302">
        <f>ATHL45!O8</f>
        <v>0</v>
      </c>
      <c r="P34" s="308"/>
      <c r="Q34" s="157"/>
      <c r="R34" s="157"/>
      <c r="S34" s="157"/>
    </row>
    <row r="35" spans="1:19" ht="13.5" thickBot="1" x14ac:dyDescent="0.25">
      <c r="A35" s="176" t="str">
        <f t="shared" ref="A35:B37" si="5">A34</f>
        <v>ATHL45</v>
      </c>
      <c r="B35" s="176" t="str">
        <f t="shared" si="5"/>
        <v>Athletic Promotion and Marketing</v>
      </c>
      <c r="C35" s="183" t="s">
        <v>704</v>
      </c>
      <c r="D35" s="184"/>
      <c r="E35" s="185">
        <f>ATHL45!E15</f>
        <v>0</v>
      </c>
      <c r="F35" s="185">
        <f>ATHL45!F15</f>
        <v>0</v>
      </c>
      <c r="G35" s="185">
        <f>ATHL45!G15</f>
        <v>0</v>
      </c>
      <c r="H35" s="185">
        <f>ATHL45!H15</f>
        <v>0</v>
      </c>
      <c r="I35" s="185">
        <f>ATHL45!I15</f>
        <v>0</v>
      </c>
      <c r="J35" s="185">
        <f>I35-H35</f>
        <v>0</v>
      </c>
      <c r="K35" s="358" t="e">
        <f>(I35-H35)/H35</f>
        <v>#DIV/0!</v>
      </c>
      <c r="L35" s="185">
        <f>ATHL45!L15</f>
        <v>0</v>
      </c>
      <c r="M35" s="185">
        <f>ATHL45!M15</f>
        <v>0</v>
      </c>
      <c r="N35" s="185">
        <f>ATHL45!N15</f>
        <v>0</v>
      </c>
      <c r="O35" s="185">
        <f>ATHL45!O15</f>
        <v>0</v>
      </c>
      <c r="P35" s="187"/>
      <c r="Q35" s="157"/>
      <c r="R35" s="157"/>
      <c r="S35" s="157"/>
    </row>
    <row r="36" spans="1:19" ht="13.5" thickBot="1" x14ac:dyDescent="0.25">
      <c r="A36" s="176" t="str">
        <f t="shared" si="5"/>
        <v>ATHL45</v>
      </c>
      <c r="B36" s="176" t="str">
        <f t="shared" si="5"/>
        <v>Athletic Promotion and Marketing</v>
      </c>
      <c r="C36" s="177" t="s">
        <v>22</v>
      </c>
      <c r="D36" s="201"/>
      <c r="E36" s="180">
        <f>ATHL45!E28</f>
        <v>7179.15</v>
      </c>
      <c r="F36" s="180">
        <f>ATHL45!F28</f>
        <v>7057.3</v>
      </c>
      <c r="G36" s="180">
        <f>ATHL45!G28</f>
        <v>2668.4700000000003</v>
      </c>
      <c r="H36" s="180">
        <f>ATHL45!H28</f>
        <v>8099</v>
      </c>
      <c r="I36" s="180">
        <f>ATHL45!I28</f>
        <v>8099</v>
      </c>
      <c r="J36" s="180">
        <f>I36-H36</f>
        <v>0</v>
      </c>
      <c r="K36" s="359">
        <f>(I36-H36)/H36</f>
        <v>0</v>
      </c>
      <c r="L36" s="180">
        <f>ATHL45!L28</f>
        <v>0</v>
      </c>
      <c r="M36" s="180">
        <f>ATHL45!M28</f>
        <v>0</v>
      </c>
      <c r="N36" s="180">
        <f>ATHL45!N28</f>
        <v>0</v>
      </c>
      <c r="O36" s="180">
        <f>ATHL45!O28</f>
        <v>0</v>
      </c>
      <c r="P36" s="187"/>
    </row>
    <row r="37" spans="1:19" ht="13.5" thickBot="1" x14ac:dyDescent="0.25">
      <c r="A37" s="303" t="str">
        <f t="shared" si="5"/>
        <v>ATHL45</v>
      </c>
      <c r="B37" s="303" t="str">
        <f t="shared" si="5"/>
        <v>Athletic Promotion and Marketing</v>
      </c>
      <c r="C37" s="304" t="s">
        <v>702</v>
      </c>
      <c r="D37" s="304"/>
      <c r="E37" s="305">
        <f>E35+E36</f>
        <v>7179.15</v>
      </c>
      <c r="F37" s="305">
        <f>F35+F36</f>
        <v>7057.3</v>
      </c>
      <c r="G37" s="305">
        <f>G35+G36</f>
        <v>2668.4700000000003</v>
      </c>
      <c r="H37" s="305">
        <f>H35+H36</f>
        <v>8099</v>
      </c>
      <c r="I37" s="305">
        <f>I35+I36</f>
        <v>8099</v>
      </c>
      <c r="J37" s="305">
        <f>I37-H37</f>
        <v>0</v>
      </c>
      <c r="K37" s="360">
        <f>(I37-H37)/H37</f>
        <v>0</v>
      </c>
      <c r="L37" s="305">
        <f>L35+L36</f>
        <v>0</v>
      </c>
      <c r="M37" s="305">
        <f>M35+M36</f>
        <v>0</v>
      </c>
      <c r="N37" s="305">
        <f>N35+N36</f>
        <v>0</v>
      </c>
      <c r="O37" s="305">
        <f>O35+O36</f>
        <v>0</v>
      </c>
      <c r="P37" s="306"/>
      <c r="Q37" s="307">
        <f>H37-G37</f>
        <v>5430.53</v>
      </c>
    </row>
    <row r="39" spans="1:19" ht="13.5" customHeight="1" thickBot="1" x14ac:dyDescent="0.25">
      <c r="A39" s="299" t="str">
        <f>ATHL46!C1</f>
        <v>ATHL46</v>
      </c>
      <c r="B39" s="299" t="str">
        <f>ATHL46!C2</f>
        <v>Cheerleading</v>
      </c>
      <c r="C39" s="300" t="s">
        <v>697</v>
      </c>
      <c r="D39" s="301"/>
      <c r="E39" s="302">
        <f>ATHL46!E8</f>
        <v>0</v>
      </c>
      <c r="F39" s="302">
        <f>ATHL46!F8</f>
        <v>0</v>
      </c>
      <c r="G39" s="302">
        <f>ATHL46!G8</f>
        <v>0</v>
      </c>
      <c r="H39" s="302">
        <f>ATHL46!H8</f>
        <v>0</v>
      </c>
      <c r="I39" s="302">
        <f>ATHL46!I8</f>
        <v>0</v>
      </c>
      <c r="J39" s="302">
        <f>I39-H39</f>
        <v>0</v>
      </c>
      <c r="K39" s="357" t="e">
        <f>(I39-H39)/H39</f>
        <v>#DIV/0!</v>
      </c>
      <c r="L39" s="302">
        <f>ATHL46!L8</f>
        <v>0</v>
      </c>
      <c r="M39" s="302">
        <f>ATHL46!M8</f>
        <v>0</v>
      </c>
      <c r="N39" s="302">
        <f>ATHL46!N8</f>
        <v>0</v>
      </c>
      <c r="O39" s="302">
        <f>ATHL46!O8</f>
        <v>0</v>
      </c>
      <c r="P39" s="308"/>
      <c r="Q39" s="157"/>
      <c r="R39" s="157"/>
      <c r="S39" s="157"/>
    </row>
    <row r="40" spans="1:19" ht="13.5" thickBot="1" x14ac:dyDescent="0.25">
      <c r="A40" s="176" t="str">
        <f t="shared" ref="A40:B42" si="6">A39</f>
        <v>ATHL46</v>
      </c>
      <c r="B40" s="176" t="str">
        <f t="shared" si="6"/>
        <v>Cheerleading</v>
      </c>
      <c r="C40" s="183" t="s">
        <v>704</v>
      </c>
      <c r="D40" s="184"/>
      <c r="E40" s="185">
        <f>ATHL46!E18</f>
        <v>4990.0200000000004</v>
      </c>
      <c r="F40" s="185">
        <f>ATHL46!F18</f>
        <v>4990</v>
      </c>
      <c r="G40" s="185">
        <f>ATHL46!G18</f>
        <v>4990.0200000000004</v>
      </c>
      <c r="H40" s="185">
        <f>ATHL46!H18</f>
        <v>4990</v>
      </c>
      <c r="I40" s="185">
        <f>ATHL46!I18</f>
        <v>4990</v>
      </c>
      <c r="J40" s="185">
        <f>I40-H40</f>
        <v>0</v>
      </c>
      <c r="K40" s="358">
        <f>(I40-H40)/H40</f>
        <v>0</v>
      </c>
      <c r="L40" s="185">
        <f>ATHL46!L18</f>
        <v>0</v>
      </c>
      <c r="M40" s="185">
        <f>ATHL46!M18</f>
        <v>0</v>
      </c>
      <c r="N40" s="185">
        <f>ATHL46!N18</f>
        <v>0</v>
      </c>
      <c r="O40" s="185">
        <f>ATHL46!O18</f>
        <v>0</v>
      </c>
      <c r="P40" s="187"/>
      <c r="Q40" s="157"/>
      <c r="R40" s="157"/>
      <c r="S40" s="157"/>
    </row>
    <row r="41" spans="1:19" ht="13.5" thickBot="1" x14ac:dyDescent="0.25">
      <c r="A41" s="176" t="str">
        <f t="shared" si="6"/>
        <v>ATHL46</v>
      </c>
      <c r="B41" s="176" t="str">
        <f t="shared" si="6"/>
        <v>Cheerleading</v>
      </c>
      <c r="C41" s="177" t="s">
        <v>22</v>
      </c>
      <c r="D41" s="201"/>
      <c r="E41" s="180">
        <f>ATHL46!E26</f>
        <v>1993.2</v>
      </c>
      <c r="F41" s="180">
        <f>ATHL46!F26</f>
        <v>2351.25</v>
      </c>
      <c r="G41" s="180">
        <f>ATHL46!G26</f>
        <v>3348.9900000000002</v>
      </c>
      <c r="H41" s="180">
        <f>ATHL46!H26</f>
        <v>3500</v>
      </c>
      <c r="I41" s="180">
        <f>ATHL46!I26</f>
        <v>3500</v>
      </c>
      <c r="J41" s="180">
        <f>I41-H41</f>
        <v>0</v>
      </c>
      <c r="K41" s="359">
        <f>(I41-H41)/H41</f>
        <v>0</v>
      </c>
      <c r="L41" s="180">
        <f>ATHL46!L26</f>
        <v>0</v>
      </c>
      <c r="M41" s="180">
        <f>ATHL46!M26</f>
        <v>0</v>
      </c>
      <c r="N41" s="180">
        <f>ATHL46!N26</f>
        <v>0</v>
      </c>
      <c r="O41" s="180">
        <f>ATHL46!O26</f>
        <v>105</v>
      </c>
      <c r="P41" s="187"/>
    </row>
    <row r="42" spans="1:19" ht="13.5" thickBot="1" x14ac:dyDescent="0.25">
      <c r="A42" s="303" t="str">
        <f t="shared" si="6"/>
        <v>ATHL46</v>
      </c>
      <c r="B42" s="303" t="str">
        <f t="shared" si="6"/>
        <v>Cheerleading</v>
      </c>
      <c r="C42" s="304" t="s">
        <v>702</v>
      </c>
      <c r="D42" s="304"/>
      <c r="E42" s="305">
        <f>E40+E41</f>
        <v>6983.22</v>
      </c>
      <c r="F42" s="305">
        <f>F40+F41</f>
        <v>7341.25</v>
      </c>
      <c r="G42" s="305">
        <f>G40+G41</f>
        <v>8339.01</v>
      </c>
      <c r="H42" s="305">
        <f>H40+H41</f>
        <v>8490</v>
      </c>
      <c r="I42" s="305">
        <f>I40+I41</f>
        <v>8490</v>
      </c>
      <c r="J42" s="305">
        <f>I42-H42</f>
        <v>0</v>
      </c>
      <c r="K42" s="360">
        <f>(I42-H42)/H42</f>
        <v>0</v>
      </c>
      <c r="L42" s="305">
        <f>L40+L41</f>
        <v>0</v>
      </c>
      <c r="M42" s="305">
        <f>M40+M41</f>
        <v>0</v>
      </c>
      <c r="N42" s="305">
        <f>N40+N41</f>
        <v>0</v>
      </c>
      <c r="O42" s="305">
        <f>O40+O41</f>
        <v>105</v>
      </c>
      <c r="P42" s="306"/>
      <c r="Q42" s="307">
        <f>H42-G42</f>
        <v>150.98999999999978</v>
      </c>
    </row>
    <row r="44" spans="1:19" ht="64.5" thickBot="1" x14ac:dyDescent="0.25">
      <c r="A44" s="299" t="str">
        <f>ATHL47!C1</f>
        <v>ATHL47</v>
      </c>
      <c r="B44" s="299" t="str">
        <f>ATHL47!C2</f>
        <v>Strength and Conditioning</v>
      </c>
      <c r="C44" s="300" t="s">
        <v>697</v>
      </c>
      <c r="D44" s="301"/>
      <c r="E44" s="302">
        <f>ATHL47!E8</f>
        <v>105029.15</v>
      </c>
      <c r="F44" s="302">
        <f>ATHL47!F8</f>
        <v>105536.92</v>
      </c>
      <c r="G44" s="302">
        <f>ATHL47!G8</f>
        <v>108216.78</v>
      </c>
      <c r="H44" s="302">
        <f>ATHL47!H8</f>
        <v>108352</v>
      </c>
      <c r="I44" s="302">
        <f>ATHL47!I8</f>
        <v>108352</v>
      </c>
      <c r="J44" s="302">
        <f>I44-H44</f>
        <v>0</v>
      </c>
      <c r="K44" s="357">
        <f>(I44-H44)/H44</f>
        <v>0</v>
      </c>
      <c r="L44" s="302">
        <f>ATHL47!L8</f>
        <v>0</v>
      </c>
      <c r="M44" s="302">
        <f>ATHL47!M8</f>
        <v>66339</v>
      </c>
      <c r="N44" s="302">
        <f>ATHL47!N8</f>
        <v>0</v>
      </c>
      <c r="O44" s="302">
        <f>ATHL47!O8</f>
        <v>0</v>
      </c>
      <c r="P44" s="344" t="s">
        <v>1091</v>
      </c>
      <c r="Q44" s="157"/>
      <c r="R44" s="157"/>
      <c r="S44" s="157"/>
    </row>
    <row r="45" spans="1:19" ht="13.5" thickBot="1" x14ac:dyDescent="0.25">
      <c r="A45" s="323" t="str">
        <f>A44</f>
        <v>ATHL47</v>
      </c>
      <c r="B45" s="323" t="str">
        <f>B44</f>
        <v>Strength and Conditioning</v>
      </c>
      <c r="C45" s="324" t="s">
        <v>960</v>
      </c>
      <c r="D45" s="184"/>
      <c r="E45" s="325">
        <f>ATHL47!E10</f>
        <v>45547.77</v>
      </c>
      <c r="F45" s="325">
        <f>ATHL47!F10</f>
        <v>52458.94</v>
      </c>
      <c r="G45" s="325">
        <f>ATHL47!G10</f>
        <v>17619.740000000002</v>
      </c>
      <c r="H45" s="325">
        <f>ATHL47!H10</f>
        <v>0</v>
      </c>
      <c r="I45" s="325">
        <f>ATHL47!I10</f>
        <v>0</v>
      </c>
      <c r="J45" s="325">
        <f>I45-H45</f>
        <v>0</v>
      </c>
      <c r="K45" s="361" t="e">
        <f>(I45-H45)/H45</f>
        <v>#DIV/0!</v>
      </c>
      <c r="L45" s="325">
        <f>ATHL43!L31</f>
        <v>0</v>
      </c>
      <c r="M45" s="325">
        <f>ATHL43!M31</f>
        <v>0</v>
      </c>
      <c r="N45" s="325">
        <f>ATHL43!N31</f>
        <v>0</v>
      </c>
      <c r="O45" s="325">
        <f>ATHL43!O31</f>
        <v>0</v>
      </c>
      <c r="P45" s="326"/>
      <c r="Q45" s="157"/>
      <c r="R45" s="157"/>
      <c r="S45" s="157"/>
    </row>
    <row r="46" spans="1:19" ht="30.75" customHeight="1" thickBot="1" x14ac:dyDescent="0.25">
      <c r="A46" s="176" t="str">
        <f>A44</f>
        <v>ATHL47</v>
      </c>
      <c r="B46" s="176" t="str">
        <f>B44</f>
        <v>Strength and Conditioning</v>
      </c>
      <c r="C46" s="183" t="s">
        <v>704</v>
      </c>
      <c r="D46" s="184"/>
      <c r="E46" s="185">
        <f>ATHL47!E17</f>
        <v>9319.81</v>
      </c>
      <c r="F46" s="185">
        <f>ATHL47!F17</f>
        <v>10026.69</v>
      </c>
      <c r="G46" s="185">
        <f>ATHL47!G17</f>
        <v>46625.37</v>
      </c>
      <c r="H46" s="185">
        <f>ATHL47!H17</f>
        <v>62245</v>
      </c>
      <c r="I46" s="185">
        <f>ATHL47!I17</f>
        <v>36200</v>
      </c>
      <c r="J46" s="185">
        <f>I46-H46</f>
        <v>-26045</v>
      </c>
      <c r="K46" s="358">
        <f>(I46-H46)/H46</f>
        <v>-0.41842718290625752</v>
      </c>
      <c r="L46" s="185">
        <f>ATHL47!L17</f>
        <v>0</v>
      </c>
      <c r="M46" s="185">
        <f>ATHL47!M17</f>
        <v>0</v>
      </c>
      <c r="N46" s="185">
        <f>ATHL47!N17</f>
        <v>0</v>
      </c>
      <c r="O46" s="185">
        <f>ATHL47!O17</f>
        <v>0</v>
      </c>
      <c r="P46" s="187" t="s">
        <v>1090</v>
      </c>
      <c r="Q46" s="157"/>
      <c r="R46" s="157"/>
      <c r="S46" s="157"/>
    </row>
    <row r="47" spans="1:19" ht="13.5" thickBot="1" x14ac:dyDescent="0.25">
      <c r="A47" s="176" t="str">
        <f t="shared" ref="A47:B48" si="7">A46</f>
        <v>ATHL47</v>
      </c>
      <c r="B47" s="176" t="str">
        <f t="shared" si="7"/>
        <v>Strength and Conditioning</v>
      </c>
      <c r="C47" s="177" t="s">
        <v>22</v>
      </c>
      <c r="D47" s="201"/>
      <c r="E47" s="180">
        <f>ATHL47!E35</f>
        <v>11124.099999999999</v>
      </c>
      <c r="F47" s="180">
        <f>ATHL47!F35</f>
        <v>8543.65</v>
      </c>
      <c r="G47" s="180">
        <f>ATHL47!G35</f>
        <v>9019.14</v>
      </c>
      <c r="H47" s="180">
        <f>ATHL47!H35</f>
        <v>8674</v>
      </c>
      <c r="I47" s="180">
        <f>ATHL47!I35</f>
        <v>8933</v>
      </c>
      <c r="J47" s="180">
        <f>I47-H47</f>
        <v>259</v>
      </c>
      <c r="K47" s="359">
        <f>(I47-H47)/H47</f>
        <v>2.9859349780954576E-2</v>
      </c>
      <c r="L47" s="180">
        <f>ATHL47!L35</f>
        <v>0</v>
      </c>
      <c r="M47" s="180">
        <f>ATHL47!M35</f>
        <v>0</v>
      </c>
      <c r="N47" s="180">
        <f>ATHL47!N35</f>
        <v>0</v>
      </c>
      <c r="O47" s="180">
        <f>ATHL47!O35</f>
        <v>268</v>
      </c>
      <c r="P47" s="187"/>
    </row>
    <row r="48" spans="1:19" ht="13.5" thickBot="1" x14ac:dyDescent="0.25">
      <c r="A48" s="303" t="str">
        <f t="shared" si="7"/>
        <v>ATHL47</v>
      </c>
      <c r="B48" s="303" t="str">
        <f t="shared" si="7"/>
        <v>Strength and Conditioning</v>
      </c>
      <c r="C48" s="304" t="s">
        <v>702</v>
      </c>
      <c r="D48" s="304"/>
      <c r="E48" s="305">
        <f>E46+E47+E45</f>
        <v>65991.679999999993</v>
      </c>
      <c r="F48" s="305">
        <f t="shared" ref="F48:I48" si="8">F46+F47+F45</f>
        <v>71029.279999999999</v>
      </c>
      <c r="G48" s="305">
        <f t="shared" si="8"/>
        <v>73264.25</v>
      </c>
      <c r="H48" s="305">
        <f t="shared" si="8"/>
        <v>70919</v>
      </c>
      <c r="I48" s="305">
        <f t="shared" si="8"/>
        <v>45133</v>
      </c>
      <c r="J48" s="305">
        <f>I48-H48</f>
        <v>-25786</v>
      </c>
      <c r="K48" s="360">
        <f>(I48-H48)/H48</f>
        <v>-0.36359790747190457</v>
      </c>
      <c r="L48" s="305">
        <f>L46+L47</f>
        <v>0</v>
      </c>
      <c r="M48" s="305">
        <f>M46+M47</f>
        <v>0</v>
      </c>
      <c r="N48" s="305">
        <f>N46+N47</f>
        <v>0</v>
      </c>
      <c r="O48" s="305">
        <f>O46+O47</f>
        <v>268</v>
      </c>
      <c r="P48" s="306"/>
      <c r="Q48" s="307">
        <f>H48-G48</f>
        <v>-2345.25</v>
      </c>
    </row>
    <row r="50" spans="1:19" ht="13.5" customHeight="1" thickBot="1" x14ac:dyDescent="0.25">
      <c r="A50" s="299" t="str">
        <f>ATHL48!C1</f>
        <v>ATHL48</v>
      </c>
      <c r="B50" s="299" t="str">
        <f>ATHL48!C2</f>
        <v>Athletics Administration Office</v>
      </c>
      <c r="C50" s="300" t="s">
        <v>697</v>
      </c>
      <c r="D50" s="301"/>
      <c r="E50" s="302">
        <f>ATHL48!E8</f>
        <v>0</v>
      </c>
      <c r="F50" s="302">
        <f>ATHL48!F8</f>
        <v>0</v>
      </c>
      <c r="G50" s="302">
        <f>ATHL48!G8</f>
        <v>0</v>
      </c>
      <c r="H50" s="302">
        <f>ATHL48!H8</f>
        <v>0</v>
      </c>
      <c r="I50" s="302">
        <f>ATHL48!I8</f>
        <v>0</v>
      </c>
      <c r="J50" s="302">
        <f>I50-H50</f>
        <v>0</v>
      </c>
      <c r="K50" s="357" t="e">
        <f>(I50-H50)/H50</f>
        <v>#DIV/0!</v>
      </c>
      <c r="L50" s="302">
        <f>ATHL48!L8</f>
        <v>0</v>
      </c>
      <c r="M50" s="302">
        <f>ATHL48!M8</f>
        <v>0</v>
      </c>
      <c r="N50" s="302">
        <f>ATHL48!N8</f>
        <v>0</v>
      </c>
      <c r="O50" s="302">
        <f>ATHL48!O8</f>
        <v>0</v>
      </c>
      <c r="P50" s="308"/>
      <c r="Q50" s="157"/>
      <c r="R50" s="157"/>
      <c r="S50" s="157"/>
    </row>
    <row r="51" spans="1:19" ht="13.5" thickBot="1" x14ac:dyDescent="0.25">
      <c r="A51" s="176" t="str">
        <f t="shared" ref="A51:B53" si="9">A50</f>
        <v>ATHL48</v>
      </c>
      <c r="B51" s="176" t="str">
        <f t="shared" si="9"/>
        <v>Athletics Administration Office</v>
      </c>
      <c r="C51" s="183" t="s">
        <v>704</v>
      </c>
      <c r="D51" s="184"/>
      <c r="E51" s="185">
        <f>ATHL48!E18</f>
        <v>0</v>
      </c>
      <c r="F51" s="185">
        <f>ATHL48!F18</f>
        <v>0</v>
      </c>
      <c r="G51" s="185">
        <f>ATHL48!G18</f>
        <v>0</v>
      </c>
      <c r="H51" s="185">
        <f>ATHL48!H18</f>
        <v>0</v>
      </c>
      <c r="I51" s="185">
        <f>ATHL48!I18</f>
        <v>0</v>
      </c>
      <c r="J51" s="185">
        <f>I51-H51</f>
        <v>0</v>
      </c>
      <c r="K51" s="358" t="e">
        <f>(I51-H51)/H51</f>
        <v>#DIV/0!</v>
      </c>
      <c r="L51" s="185">
        <f>ATHL48!L18</f>
        <v>0</v>
      </c>
      <c r="M51" s="185">
        <f>ATHL48!M18</f>
        <v>0</v>
      </c>
      <c r="N51" s="185">
        <f>ATHL48!N18</f>
        <v>0</v>
      </c>
      <c r="O51" s="185">
        <f>ATHL48!O18</f>
        <v>0</v>
      </c>
      <c r="P51" s="187"/>
      <c r="Q51" s="157"/>
      <c r="R51" s="157"/>
      <c r="S51" s="157"/>
    </row>
    <row r="52" spans="1:19" ht="13.5" thickBot="1" x14ac:dyDescent="0.25">
      <c r="A52" s="176" t="str">
        <f t="shared" si="9"/>
        <v>ATHL48</v>
      </c>
      <c r="B52" s="176" t="str">
        <f t="shared" si="9"/>
        <v>Athletics Administration Office</v>
      </c>
      <c r="C52" s="177" t="s">
        <v>22</v>
      </c>
      <c r="D52" s="201"/>
      <c r="E52" s="180">
        <f>ATHL48!E26</f>
        <v>3489435.52</v>
      </c>
      <c r="F52" s="180">
        <f>ATHL48!F26</f>
        <v>3636556.14</v>
      </c>
      <c r="G52" s="180">
        <f>ATHL48!G26</f>
        <v>3735966.62</v>
      </c>
      <c r="H52" s="180">
        <f>ATHL48!H26</f>
        <v>3513044</v>
      </c>
      <c r="I52" s="180">
        <f>ATHL48!I26</f>
        <v>3513044</v>
      </c>
      <c r="J52" s="180">
        <f>I52-H52</f>
        <v>0</v>
      </c>
      <c r="K52" s="359">
        <f>(I52-H52)/H52</f>
        <v>0</v>
      </c>
      <c r="L52" s="180">
        <f>ATHL48!L26</f>
        <v>0</v>
      </c>
      <c r="M52" s="180">
        <f>ATHL48!M26</f>
        <v>0</v>
      </c>
      <c r="N52" s="180">
        <f>ATHL48!N26</f>
        <v>0</v>
      </c>
      <c r="O52" s="180">
        <f>ATHL48!O26</f>
        <v>40230</v>
      </c>
      <c r="P52" s="187"/>
    </row>
    <row r="53" spans="1:19" ht="13.5" thickBot="1" x14ac:dyDescent="0.25">
      <c r="A53" s="303" t="str">
        <f t="shared" si="9"/>
        <v>ATHL48</v>
      </c>
      <c r="B53" s="303" t="str">
        <f t="shared" si="9"/>
        <v>Athletics Administration Office</v>
      </c>
      <c r="C53" s="304" t="s">
        <v>702</v>
      </c>
      <c r="D53" s="304"/>
      <c r="E53" s="305">
        <f>E51+E52</f>
        <v>3489435.52</v>
      </c>
      <c r="F53" s="305">
        <f>F51+F52</f>
        <v>3636556.14</v>
      </c>
      <c r="G53" s="305">
        <f>G51+G52</f>
        <v>3735966.62</v>
      </c>
      <c r="H53" s="305">
        <f>H51+H52</f>
        <v>3513044</v>
      </c>
      <c r="I53" s="305">
        <f>I51+I52</f>
        <v>3513044</v>
      </c>
      <c r="J53" s="305">
        <f>I53-H53</f>
        <v>0</v>
      </c>
      <c r="K53" s="360">
        <f>(I53-H53)/H53</f>
        <v>0</v>
      </c>
      <c r="L53" s="305">
        <f>L51+L52</f>
        <v>0</v>
      </c>
      <c r="M53" s="305">
        <f>M51+M52</f>
        <v>0</v>
      </c>
      <c r="N53" s="305">
        <f>N51+N52</f>
        <v>0</v>
      </c>
      <c r="O53" s="305">
        <f>O51+O52</f>
        <v>40230</v>
      </c>
      <c r="P53" s="306"/>
      <c r="Q53" s="307">
        <f>H53-G53</f>
        <v>-222922.62000000011</v>
      </c>
    </row>
    <row r="55" spans="1:19" ht="13.5" customHeight="1" thickBot="1" x14ac:dyDescent="0.25">
      <c r="A55" s="299" t="str">
        <f>ATHL49!C1</f>
        <v>ATHL49</v>
      </c>
      <c r="B55" s="299" t="str">
        <f>ATHL49!C2</f>
        <v>Athletic Compliance</v>
      </c>
      <c r="C55" s="300" t="s">
        <v>697</v>
      </c>
      <c r="D55" s="301"/>
      <c r="E55" s="302">
        <f>ATHL49!E8</f>
        <v>182069.6</v>
      </c>
      <c r="F55" s="302">
        <f>ATHL49!F8</f>
        <v>181577.45</v>
      </c>
      <c r="G55" s="302">
        <f>ATHL49!G8</f>
        <v>182794.59</v>
      </c>
      <c r="H55" s="302">
        <f>ATHL49!H8</f>
        <v>181577.42800000001</v>
      </c>
      <c r="I55" s="302">
        <f>ATHL49!I8</f>
        <v>181577.42800000001</v>
      </c>
      <c r="J55" s="302">
        <f>I55-H55</f>
        <v>0</v>
      </c>
      <c r="K55" s="357">
        <f>(I55-H55)/H55</f>
        <v>0</v>
      </c>
      <c r="L55" s="302">
        <f>ATHL49!L8</f>
        <v>0</v>
      </c>
      <c r="M55" s="302">
        <f>ATHL49!M8</f>
        <v>0</v>
      </c>
      <c r="N55" s="302">
        <f>ATHL49!N8</f>
        <v>0</v>
      </c>
      <c r="O55" s="302">
        <f>ATHL49!O8</f>
        <v>0</v>
      </c>
      <c r="P55" s="308"/>
      <c r="Q55" s="157"/>
      <c r="R55" s="157"/>
      <c r="S55" s="157"/>
    </row>
    <row r="56" spans="1:19" ht="13.5" thickBot="1" x14ac:dyDescent="0.25">
      <c r="A56" s="176" t="str">
        <f t="shared" ref="A56:B56" si="10">A55</f>
        <v>ATHL49</v>
      </c>
      <c r="B56" s="176" t="str">
        <f t="shared" si="10"/>
        <v>Athletic Compliance</v>
      </c>
      <c r="C56" s="183" t="s">
        <v>704</v>
      </c>
      <c r="D56" s="184"/>
      <c r="E56" s="185">
        <f>ATHL49!E18</f>
        <v>59.480000000000004</v>
      </c>
      <c r="F56" s="185">
        <f>ATHL49!F18</f>
        <v>0</v>
      </c>
      <c r="G56" s="185">
        <f>ATHL49!G18</f>
        <v>2076.4499999999998</v>
      </c>
      <c r="H56" s="185">
        <f>ATHL49!H18</f>
        <v>1900</v>
      </c>
      <c r="I56" s="185">
        <f>ATHL49!I18</f>
        <v>1900</v>
      </c>
      <c r="J56" s="185">
        <f>I56-H56</f>
        <v>0</v>
      </c>
      <c r="K56" s="358">
        <f>(I56-H56)/H56</f>
        <v>0</v>
      </c>
      <c r="L56" s="185">
        <f>ATHL49!L18</f>
        <v>0</v>
      </c>
      <c r="M56" s="185">
        <f>ATHL49!M18</f>
        <v>0</v>
      </c>
      <c r="N56" s="185">
        <f>ATHL49!N18</f>
        <v>0</v>
      </c>
      <c r="O56" s="185">
        <f>ATHL49!O18</f>
        <v>0</v>
      </c>
      <c r="P56" s="187"/>
      <c r="Q56" s="157"/>
      <c r="R56" s="157"/>
      <c r="S56" s="157"/>
    </row>
    <row r="57" spans="1:19" ht="13.5" thickBot="1" x14ac:dyDescent="0.25">
      <c r="A57" s="176" t="str">
        <f t="shared" ref="A57:B57" si="11">A56</f>
        <v>ATHL49</v>
      </c>
      <c r="B57" s="176" t="str">
        <f t="shared" si="11"/>
        <v>Athletic Compliance</v>
      </c>
      <c r="C57" s="177" t="s">
        <v>22</v>
      </c>
      <c r="D57" s="201"/>
      <c r="E57" s="180">
        <f>ATHL49!E34</f>
        <v>10170.940000000002</v>
      </c>
      <c r="F57" s="180">
        <f>ATHL49!F34</f>
        <v>6845.2199999999993</v>
      </c>
      <c r="G57" s="180">
        <f>ATHL49!G34</f>
        <v>6013.83</v>
      </c>
      <c r="H57" s="180">
        <f>ATHL49!H34</f>
        <v>11575</v>
      </c>
      <c r="I57" s="180">
        <f>ATHL49!I34</f>
        <v>11050</v>
      </c>
      <c r="J57" s="180">
        <f>I57-H57</f>
        <v>-525</v>
      </c>
      <c r="K57" s="359">
        <f>(I57-H57)/H57</f>
        <v>-4.5356371490280781E-2</v>
      </c>
      <c r="L57" s="180">
        <f>ATHL49!L34</f>
        <v>0</v>
      </c>
      <c r="M57" s="180">
        <f>ATHL49!M34</f>
        <v>0</v>
      </c>
      <c r="N57" s="180">
        <f>ATHL49!N34</f>
        <v>0</v>
      </c>
      <c r="O57" s="180">
        <f>ATHL49!O34</f>
        <v>0</v>
      </c>
      <c r="P57" s="187"/>
    </row>
    <row r="58" spans="1:19" ht="13.5" thickBot="1" x14ac:dyDescent="0.25">
      <c r="A58" s="303" t="str">
        <f t="shared" ref="A58:B58" si="12">A57</f>
        <v>ATHL49</v>
      </c>
      <c r="B58" s="303" t="str">
        <f t="shared" si="12"/>
        <v>Athletic Compliance</v>
      </c>
      <c r="C58" s="304" t="s">
        <v>702</v>
      </c>
      <c r="D58" s="304"/>
      <c r="E58" s="305">
        <f>E56+E57</f>
        <v>10230.420000000002</v>
      </c>
      <c r="F58" s="305">
        <f>F56+F57</f>
        <v>6845.2199999999993</v>
      </c>
      <c r="G58" s="305">
        <f>G56+G57</f>
        <v>8090.28</v>
      </c>
      <c r="H58" s="305">
        <f>H56+H57</f>
        <v>13475</v>
      </c>
      <c r="I58" s="305">
        <f>I56+I57</f>
        <v>12950</v>
      </c>
      <c r="J58" s="305">
        <f>I58-H58</f>
        <v>-525</v>
      </c>
      <c r="K58" s="360">
        <f>(I58-H58)/H58</f>
        <v>-3.896103896103896E-2</v>
      </c>
      <c r="L58" s="305">
        <f>L56+L57</f>
        <v>0</v>
      </c>
      <c r="M58" s="305">
        <f>M56+M57</f>
        <v>0</v>
      </c>
      <c r="N58" s="305">
        <f>N56+N57</f>
        <v>0</v>
      </c>
      <c r="O58" s="305">
        <f>O56+O57</f>
        <v>0</v>
      </c>
      <c r="P58" s="306"/>
      <c r="Q58" s="307">
        <f>H58-G58</f>
        <v>5384.72</v>
      </c>
    </row>
    <row r="60" spans="1:19" ht="13.5" customHeight="1" thickBot="1" x14ac:dyDescent="0.25">
      <c r="A60" s="299" t="str">
        <f>ATHL50!C1</f>
        <v>ATHL50</v>
      </c>
      <c r="B60" s="299" t="str">
        <f>ATHL50!C2</f>
        <v>Athletic Event Management</v>
      </c>
      <c r="C60" s="300" t="s">
        <v>697</v>
      </c>
      <c r="D60" s="301"/>
      <c r="E60" s="302">
        <f>ATHL50!E8</f>
        <v>106221</v>
      </c>
      <c r="F60" s="302">
        <f>ATHL50!F8</f>
        <v>105940.89</v>
      </c>
      <c r="G60" s="302">
        <f>ATHL50!G8</f>
        <v>106317.2</v>
      </c>
      <c r="H60" s="302">
        <f>ATHL50!H8</f>
        <v>105941.16799999999</v>
      </c>
      <c r="I60" s="302">
        <f>ATHL50!I8</f>
        <v>105941.16799999999</v>
      </c>
      <c r="J60" s="302">
        <f>I60-H60</f>
        <v>0</v>
      </c>
      <c r="K60" s="357">
        <f>(I60-H60)/H60</f>
        <v>0</v>
      </c>
      <c r="L60" s="302">
        <f>ATHL50!L8</f>
        <v>0</v>
      </c>
      <c r="M60" s="302">
        <f>ATHL50!M8</f>
        <v>0</v>
      </c>
      <c r="N60" s="302">
        <f>ATHL50!N8</f>
        <v>0</v>
      </c>
      <c r="O60" s="302">
        <f>ATHL50!O8</f>
        <v>0</v>
      </c>
      <c r="P60" s="308"/>
      <c r="Q60" s="157"/>
      <c r="R60" s="157"/>
      <c r="S60" s="157"/>
    </row>
    <row r="61" spans="1:19" ht="13.5" thickBot="1" x14ac:dyDescent="0.25">
      <c r="A61" s="176" t="str">
        <f t="shared" ref="A61:B61" si="13">A60</f>
        <v>ATHL50</v>
      </c>
      <c r="B61" s="176" t="str">
        <f t="shared" si="13"/>
        <v>Athletic Event Management</v>
      </c>
      <c r="C61" s="183" t="s">
        <v>704</v>
      </c>
      <c r="D61" s="184"/>
      <c r="E61" s="185">
        <f>ATHL50!E18</f>
        <v>39304.270000000004</v>
      </c>
      <c r="F61" s="185">
        <f>ATHL50!F18</f>
        <v>26882.300000000003</v>
      </c>
      <c r="G61" s="185">
        <f>ATHL50!G18</f>
        <v>34339.270000000004</v>
      </c>
      <c r="H61" s="185">
        <f>ATHL50!H18</f>
        <v>35000</v>
      </c>
      <c r="I61" s="185">
        <f>ATHL50!I18</f>
        <v>35000</v>
      </c>
      <c r="J61" s="185">
        <f>I61-H61</f>
        <v>0</v>
      </c>
      <c r="K61" s="358">
        <f>(I61-H61)/H61</f>
        <v>0</v>
      </c>
      <c r="L61" s="185">
        <f>ATHL50!L18</f>
        <v>0</v>
      </c>
      <c r="M61" s="185">
        <f>ATHL50!M18</f>
        <v>0</v>
      </c>
      <c r="N61" s="185">
        <f>ATHL50!N18</f>
        <v>0</v>
      </c>
      <c r="O61" s="185">
        <f>ATHL50!O18</f>
        <v>0</v>
      </c>
      <c r="P61" s="187"/>
      <c r="Q61" s="157"/>
      <c r="R61" s="157"/>
      <c r="S61" s="157"/>
    </row>
    <row r="62" spans="1:19" ht="13.5" thickBot="1" x14ac:dyDescent="0.25">
      <c r="A62" s="176" t="str">
        <f t="shared" ref="A62:B62" si="14">A61</f>
        <v>ATHL50</v>
      </c>
      <c r="B62" s="176" t="str">
        <f t="shared" si="14"/>
        <v>Athletic Event Management</v>
      </c>
      <c r="C62" s="177" t="s">
        <v>22</v>
      </c>
      <c r="D62" s="201"/>
      <c r="E62" s="180">
        <f>ATHL50!E34</f>
        <v>17771.190000000002</v>
      </c>
      <c r="F62" s="180">
        <f>ATHL50!F34</f>
        <v>22753.829999999998</v>
      </c>
      <c r="G62" s="180">
        <f>ATHL50!G34</f>
        <v>22305.95</v>
      </c>
      <c r="H62" s="180">
        <f>ATHL50!H34</f>
        <v>22455</v>
      </c>
      <c r="I62" s="180">
        <f>ATHL50!I34</f>
        <v>23455</v>
      </c>
      <c r="J62" s="180">
        <f>I62-H62</f>
        <v>1000</v>
      </c>
      <c r="K62" s="359">
        <f>(I62-H62)/H62</f>
        <v>4.4533511467379203E-2</v>
      </c>
      <c r="L62" s="180">
        <f>ATHL50!L34</f>
        <v>0</v>
      </c>
      <c r="M62" s="180">
        <f>ATHL50!M34</f>
        <v>0</v>
      </c>
      <c r="N62" s="180">
        <f>ATHL50!N34</f>
        <v>0</v>
      </c>
      <c r="O62" s="180">
        <f>ATHL50!O34</f>
        <v>0</v>
      </c>
      <c r="P62" s="187"/>
    </row>
    <row r="63" spans="1:19" ht="13.5" thickBot="1" x14ac:dyDescent="0.25">
      <c r="A63" s="303" t="str">
        <f t="shared" ref="A63:B63" si="15">A62</f>
        <v>ATHL50</v>
      </c>
      <c r="B63" s="303" t="str">
        <f t="shared" si="15"/>
        <v>Athletic Event Management</v>
      </c>
      <c r="C63" s="304" t="s">
        <v>702</v>
      </c>
      <c r="D63" s="304"/>
      <c r="E63" s="305">
        <f>E61+E62</f>
        <v>57075.460000000006</v>
      </c>
      <c r="F63" s="305">
        <f>F61+F62</f>
        <v>49636.130000000005</v>
      </c>
      <c r="G63" s="305">
        <f>G61+G62</f>
        <v>56645.22</v>
      </c>
      <c r="H63" s="305">
        <f>H61+H62</f>
        <v>57455</v>
      </c>
      <c r="I63" s="305">
        <f>I61+I62</f>
        <v>58455</v>
      </c>
      <c r="J63" s="305">
        <f>I63-H63</f>
        <v>1000</v>
      </c>
      <c r="K63" s="360">
        <f>(I63-H63)/H63</f>
        <v>1.7404925593943087E-2</v>
      </c>
      <c r="L63" s="305">
        <f>L61+L62</f>
        <v>0</v>
      </c>
      <c r="M63" s="305">
        <f>M61+M62</f>
        <v>0</v>
      </c>
      <c r="N63" s="305">
        <f>N61+N62</f>
        <v>0</v>
      </c>
      <c r="O63" s="305">
        <f>O61+O62</f>
        <v>0</v>
      </c>
      <c r="P63" s="306"/>
      <c r="Q63" s="307">
        <f>H63-G63</f>
        <v>809.77999999999884</v>
      </c>
    </row>
    <row r="65" spans="1:19" ht="13.5" customHeight="1" thickBot="1" x14ac:dyDescent="0.25">
      <c r="A65" s="299" t="str">
        <f>ATHL53!C1</f>
        <v>ATHL53</v>
      </c>
      <c r="B65" s="299" t="str">
        <f>ATHL53!C2</f>
        <v>Dance Team</v>
      </c>
      <c r="C65" s="300" t="s">
        <v>697</v>
      </c>
      <c r="D65" s="301"/>
      <c r="E65" s="302">
        <f>ATHL53!E8</f>
        <v>0</v>
      </c>
      <c r="F65" s="302">
        <f>ATHL53!F8</f>
        <v>0</v>
      </c>
      <c r="G65" s="302">
        <f>ATHL53!G8</f>
        <v>0</v>
      </c>
      <c r="H65" s="302">
        <f>ATHL53!H8</f>
        <v>0</v>
      </c>
      <c r="I65" s="302">
        <f>ATHL53!I8</f>
        <v>0</v>
      </c>
      <c r="J65" s="302">
        <f>I65-H65</f>
        <v>0</v>
      </c>
      <c r="K65" s="357" t="e">
        <f>(I65-H65)/H65</f>
        <v>#DIV/0!</v>
      </c>
      <c r="L65" s="302">
        <f>ATHL53!L8</f>
        <v>0</v>
      </c>
      <c r="M65" s="302">
        <f>ATHL53!M8</f>
        <v>0</v>
      </c>
      <c r="N65" s="302">
        <f>ATHL53!N8</f>
        <v>0</v>
      </c>
      <c r="O65" s="302">
        <f>ATHL53!O8</f>
        <v>0</v>
      </c>
      <c r="P65" s="308"/>
      <c r="Q65" s="157"/>
      <c r="R65" s="157"/>
      <c r="S65" s="157"/>
    </row>
    <row r="66" spans="1:19" ht="13.5" thickBot="1" x14ac:dyDescent="0.25">
      <c r="A66" s="176" t="str">
        <f t="shared" ref="A66:B66" si="16">A65</f>
        <v>ATHL53</v>
      </c>
      <c r="B66" s="176" t="str">
        <f t="shared" si="16"/>
        <v>Dance Team</v>
      </c>
      <c r="C66" s="183" t="s">
        <v>704</v>
      </c>
      <c r="D66" s="184"/>
      <c r="E66" s="185">
        <f>ATHL53!E18</f>
        <v>0</v>
      </c>
      <c r="F66" s="185">
        <f>ATHL53!F18</f>
        <v>0</v>
      </c>
      <c r="G66" s="185">
        <f>ATHL53!G18</f>
        <v>0</v>
      </c>
      <c r="H66" s="185">
        <f>ATHL53!H18</f>
        <v>0</v>
      </c>
      <c r="I66" s="185">
        <f>ATHL53!I18</f>
        <v>0</v>
      </c>
      <c r="J66" s="185">
        <f>I66-H66</f>
        <v>0</v>
      </c>
      <c r="K66" s="358" t="e">
        <f>(I66-H66)/H66</f>
        <v>#DIV/0!</v>
      </c>
      <c r="L66" s="185">
        <f>ATHL53!L18</f>
        <v>0</v>
      </c>
      <c r="M66" s="185">
        <f>ATHL53!M18</f>
        <v>0</v>
      </c>
      <c r="N66" s="185">
        <f>ATHL53!N18</f>
        <v>0</v>
      </c>
      <c r="O66" s="185">
        <f>ATHL53!O18</f>
        <v>0</v>
      </c>
      <c r="P66" s="187"/>
      <c r="Q66" s="157"/>
      <c r="R66" s="157"/>
      <c r="S66" s="157"/>
    </row>
    <row r="67" spans="1:19" ht="13.5" thickBot="1" x14ac:dyDescent="0.25">
      <c r="A67" s="176" t="str">
        <f t="shared" ref="A67:B67" si="17">A66</f>
        <v>ATHL53</v>
      </c>
      <c r="B67" s="176" t="str">
        <f t="shared" si="17"/>
        <v>Dance Team</v>
      </c>
      <c r="C67" s="177" t="s">
        <v>22</v>
      </c>
      <c r="D67" s="201"/>
      <c r="E67" s="180">
        <f>ATHL53!E26</f>
        <v>55</v>
      </c>
      <c r="F67" s="180">
        <f>ATHL53!F26</f>
        <v>287</v>
      </c>
      <c r="G67" s="180">
        <f>ATHL53!G26</f>
        <v>0</v>
      </c>
      <c r="H67" s="180">
        <f>ATHL53!H26</f>
        <v>0</v>
      </c>
      <c r="I67" s="180">
        <f>ATHL53!I26</f>
        <v>0</v>
      </c>
      <c r="J67" s="180">
        <f>I67-H67</f>
        <v>0</v>
      </c>
      <c r="K67" s="359" t="e">
        <f>(I67-H67)/H67</f>
        <v>#DIV/0!</v>
      </c>
      <c r="L67" s="180">
        <f>ATHL53!L26</f>
        <v>0</v>
      </c>
      <c r="M67" s="180">
        <f>ATHL53!M26</f>
        <v>0</v>
      </c>
      <c r="N67" s="180">
        <f>ATHL53!N26</f>
        <v>0</v>
      </c>
      <c r="O67" s="180">
        <f>ATHL53!O26</f>
        <v>0</v>
      </c>
      <c r="P67" s="187"/>
    </row>
    <row r="68" spans="1:19" ht="13.5" thickBot="1" x14ac:dyDescent="0.25">
      <c r="A68" s="303" t="str">
        <f t="shared" ref="A68:B68" si="18">A67</f>
        <v>ATHL53</v>
      </c>
      <c r="B68" s="303" t="str">
        <f t="shared" si="18"/>
        <v>Dance Team</v>
      </c>
      <c r="C68" s="304" t="s">
        <v>702</v>
      </c>
      <c r="D68" s="304"/>
      <c r="E68" s="305">
        <f>E66+E67</f>
        <v>55</v>
      </c>
      <c r="F68" s="305">
        <f>F66+F67</f>
        <v>287</v>
      </c>
      <c r="G68" s="305">
        <f>G66+G67</f>
        <v>0</v>
      </c>
      <c r="H68" s="305">
        <f>H66+H67</f>
        <v>0</v>
      </c>
      <c r="I68" s="305">
        <f>I66+I67</f>
        <v>0</v>
      </c>
      <c r="J68" s="305">
        <f>I68-H68</f>
        <v>0</v>
      </c>
      <c r="K68" s="360" t="e">
        <f>(I68-H68)/H68</f>
        <v>#DIV/0!</v>
      </c>
      <c r="L68" s="305">
        <f>L66+L67</f>
        <v>0</v>
      </c>
      <c r="M68" s="305">
        <f>M66+M67</f>
        <v>0</v>
      </c>
      <c r="N68" s="305">
        <f>N66+N67</f>
        <v>0</v>
      </c>
      <c r="O68" s="305">
        <f>O66+O67</f>
        <v>0</v>
      </c>
      <c r="P68" s="306"/>
      <c r="Q68" s="307">
        <f>H68-G68</f>
        <v>0</v>
      </c>
    </row>
    <row r="70" spans="1:19" ht="13.5" customHeight="1" thickBot="1" x14ac:dyDescent="0.25">
      <c r="A70" s="299" t="str">
        <f>MENS40!C1</f>
        <v>MENS40</v>
      </c>
      <c r="B70" s="299" t="str">
        <f>MENS40!C2</f>
        <v>Men's Baseball</v>
      </c>
      <c r="C70" s="300" t="s">
        <v>697</v>
      </c>
      <c r="D70" s="301"/>
      <c r="E70" s="302">
        <f>MENS40!E8</f>
        <v>175281.98</v>
      </c>
      <c r="F70" s="302">
        <f>MENS40!F8</f>
        <v>179048.94999999998</v>
      </c>
      <c r="G70" s="302">
        <f>MENS40!G8</f>
        <v>173350.82</v>
      </c>
      <c r="H70" s="302">
        <f>MENS40!H8</f>
        <v>186346.43831344135</v>
      </c>
      <c r="I70" s="302">
        <f>MENS40!I8</f>
        <v>186346.43831344135</v>
      </c>
      <c r="J70" s="302">
        <f>I70-H70</f>
        <v>0</v>
      </c>
      <c r="K70" s="357">
        <f>(I70-H70)/H70</f>
        <v>0</v>
      </c>
      <c r="L70" s="302">
        <f>MENS40!L8</f>
        <v>0</v>
      </c>
      <c r="M70" s="302">
        <f>MENS40!M8</f>
        <v>0</v>
      </c>
      <c r="N70" s="302">
        <f>MENS40!N8</f>
        <v>0</v>
      </c>
      <c r="O70" s="302">
        <f>MENS40!O8</f>
        <v>0</v>
      </c>
      <c r="P70" s="308"/>
      <c r="Q70" s="157"/>
      <c r="R70" s="157"/>
      <c r="S70" s="157"/>
    </row>
    <row r="71" spans="1:19" ht="13.5" thickBot="1" x14ac:dyDescent="0.25">
      <c r="A71" s="176" t="str">
        <f t="shared" ref="A71:B71" si="19">A70</f>
        <v>MENS40</v>
      </c>
      <c r="B71" s="176" t="str">
        <f t="shared" si="19"/>
        <v>Men's Baseball</v>
      </c>
      <c r="C71" s="183" t="s">
        <v>704</v>
      </c>
      <c r="D71" s="184"/>
      <c r="E71" s="185">
        <f>MENS40!E18</f>
        <v>10188.23</v>
      </c>
      <c r="F71" s="185">
        <f>MENS40!F18</f>
        <v>9985.51</v>
      </c>
      <c r="G71" s="185">
        <f>MENS40!G18</f>
        <v>9995.25</v>
      </c>
      <c r="H71" s="185">
        <f>MENS40!H18</f>
        <v>9995</v>
      </c>
      <c r="I71" s="185">
        <f>MENS40!I18</f>
        <v>9995</v>
      </c>
      <c r="J71" s="185">
        <f>I71-H71</f>
        <v>0</v>
      </c>
      <c r="K71" s="358">
        <f>(I71-H71)/H71</f>
        <v>0</v>
      </c>
      <c r="L71" s="185">
        <f>MENS40!L18</f>
        <v>0</v>
      </c>
      <c r="M71" s="185">
        <f>MENS40!M18</f>
        <v>0</v>
      </c>
      <c r="N71" s="185">
        <f>MENS40!N18</f>
        <v>0</v>
      </c>
      <c r="O71" s="185">
        <f>MENS40!O18</f>
        <v>0</v>
      </c>
      <c r="P71" s="187"/>
      <c r="Q71" s="157"/>
      <c r="R71" s="157"/>
      <c r="S71" s="157"/>
    </row>
    <row r="72" spans="1:19" ht="26.25" thickBot="1" x14ac:dyDescent="0.25">
      <c r="A72" s="176" t="str">
        <f t="shared" ref="A72:B72" si="20">A71</f>
        <v>MENS40</v>
      </c>
      <c r="B72" s="176" t="str">
        <f t="shared" si="20"/>
        <v>Men's Baseball</v>
      </c>
      <c r="C72" s="177" t="s">
        <v>22</v>
      </c>
      <c r="D72" s="201"/>
      <c r="E72" s="180">
        <f>MENS40!E39</f>
        <v>110458.04999999999</v>
      </c>
      <c r="F72" s="180">
        <f>MENS40!F39</f>
        <v>129755.45</v>
      </c>
      <c r="G72" s="180">
        <f>MENS40!G39</f>
        <v>99232.05</v>
      </c>
      <c r="H72" s="180">
        <f>MENS40!H39</f>
        <v>163103</v>
      </c>
      <c r="I72" s="180">
        <f>MENS40!I39</f>
        <v>141075</v>
      </c>
      <c r="J72" s="180">
        <f>I72-H72</f>
        <v>-22028</v>
      </c>
      <c r="K72" s="359">
        <f>(I72-H72)/H72</f>
        <v>-0.13505576230970615</v>
      </c>
      <c r="L72" s="180">
        <f>MENS40!L39</f>
        <v>4000</v>
      </c>
      <c r="M72" s="180">
        <f>MENS40!M39</f>
        <v>0</v>
      </c>
      <c r="N72" s="180">
        <f>MENS40!N39</f>
        <v>0</v>
      </c>
      <c r="O72" s="180">
        <f>MENS40!O39</f>
        <v>4232</v>
      </c>
      <c r="P72" s="345" t="s">
        <v>1001</v>
      </c>
    </row>
    <row r="73" spans="1:19" ht="13.5" thickBot="1" x14ac:dyDescent="0.25">
      <c r="A73" s="303" t="str">
        <f t="shared" ref="A73:B73" si="21">A72</f>
        <v>MENS40</v>
      </c>
      <c r="B73" s="303" t="str">
        <f t="shared" si="21"/>
        <v>Men's Baseball</v>
      </c>
      <c r="C73" s="304" t="s">
        <v>702</v>
      </c>
      <c r="D73" s="304"/>
      <c r="E73" s="305">
        <f>E71+E72</f>
        <v>120646.27999999998</v>
      </c>
      <c r="F73" s="305">
        <f>F71+F72</f>
        <v>139740.96</v>
      </c>
      <c r="G73" s="305">
        <f>G71+G72</f>
        <v>109227.3</v>
      </c>
      <c r="H73" s="305">
        <f>H71+H72</f>
        <v>173098</v>
      </c>
      <c r="I73" s="305">
        <f>I71+I72</f>
        <v>151070</v>
      </c>
      <c r="J73" s="305">
        <f>I73-H73</f>
        <v>-22028</v>
      </c>
      <c r="K73" s="360">
        <f>(I73-H73)/H73</f>
        <v>-0.12725739176651377</v>
      </c>
      <c r="L73" s="305">
        <f>L71+L72</f>
        <v>4000</v>
      </c>
      <c r="M73" s="305">
        <f>M71+M72</f>
        <v>0</v>
      </c>
      <c r="N73" s="305">
        <f>N71+N72</f>
        <v>0</v>
      </c>
      <c r="O73" s="305">
        <f>O71+O72</f>
        <v>4232</v>
      </c>
      <c r="P73" s="306"/>
      <c r="Q73" s="307">
        <f>H73-G73</f>
        <v>63870.7</v>
      </c>
    </row>
    <row r="75" spans="1:19" ht="13.5" customHeight="1" thickBot="1" x14ac:dyDescent="0.25">
      <c r="A75" s="299" t="str">
        <f>MENS41!C1</f>
        <v>MENS41</v>
      </c>
      <c r="B75" s="299" t="str">
        <f>MENS41!C2</f>
        <v>Men's Basketball</v>
      </c>
      <c r="C75" s="300" t="s">
        <v>697</v>
      </c>
      <c r="D75" s="301"/>
      <c r="E75" s="302">
        <f>MENS41!E8</f>
        <v>391985.23</v>
      </c>
      <c r="F75" s="302">
        <f>MENS41!F8</f>
        <v>358692.72</v>
      </c>
      <c r="G75" s="302">
        <f>MENS41!G8</f>
        <v>317812.88</v>
      </c>
      <c r="H75" s="302">
        <f>MENS41!H8</f>
        <v>326080.07</v>
      </c>
      <c r="I75" s="302">
        <f>MENS41!I8</f>
        <v>326080.07</v>
      </c>
      <c r="J75" s="302">
        <f>I75-H75</f>
        <v>0</v>
      </c>
      <c r="K75" s="357">
        <f>(I75-H75)/H75</f>
        <v>0</v>
      </c>
      <c r="L75" s="302">
        <f>MENS41!L8</f>
        <v>0</v>
      </c>
      <c r="M75" s="302">
        <f>MENS41!M8</f>
        <v>0</v>
      </c>
      <c r="N75" s="302">
        <f>MENS41!N8</f>
        <v>0</v>
      </c>
      <c r="O75" s="302">
        <f>MENS41!O8</f>
        <v>0</v>
      </c>
      <c r="P75" s="308"/>
      <c r="Q75" s="157"/>
      <c r="R75" s="157"/>
      <c r="S75" s="157"/>
    </row>
    <row r="76" spans="1:19" ht="13.5" thickBot="1" x14ac:dyDescent="0.25">
      <c r="A76" s="176" t="str">
        <f t="shared" ref="A76:B76" si="22">A75</f>
        <v>MENS41</v>
      </c>
      <c r="B76" s="176" t="str">
        <f t="shared" si="22"/>
        <v>Men's Basketball</v>
      </c>
      <c r="C76" s="183" t="s">
        <v>704</v>
      </c>
      <c r="D76" s="184"/>
      <c r="E76" s="185">
        <f>MENS41!E18</f>
        <v>126125.9</v>
      </c>
      <c r="F76" s="185">
        <f>MENS41!F18</f>
        <v>54015.15</v>
      </c>
      <c r="G76" s="185">
        <f>MENS41!G18</f>
        <v>57719.66</v>
      </c>
      <c r="H76" s="185">
        <f>MENS41!H18</f>
        <v>45496</v>
      </c>
      <c r="I76" s="185">
        <f>MENS41!I18</f>
        <v>45500</v>
      </c>
      <c r="J76" s="185">
        <f>I76-H76</f>
        <v>4</v>
      </c>
      <c r="K76" s="358">
        <f>(I76-H76)/H76</f>
        <v>8.7919817126780379E-5</v>
      </c>
      <c r="L76" s="185">
        <f>MENS41!L18</f>
        <v>0</v>
      </c>
      <c r="M76" s="185">
        <f>MENS41!M18</f>
        <v>0</v>
      </c>
      <c r="N76" s="185">
        <f>MENS41!N18</f>
        <v>0</v>
      </c>
      <c r="O76" s="185">
        <f>MENS41!O18</f>
        <v>0</v>
      </c>
      <c r="P76" s="187"/>
      <c r="Q76" s="157"/>
      <c r="R76" s="157"/>
      <c r="S76" s="157"/>
    </row>
    <row r="77" spans="1:19" ht="26.25" thickBot="1" x14ac:dyDescent="0.25">
      <c r="A77" s="176" t="str">
        <f t="shared" ref="A77:B77" si="23">A76</f>
        <v>MENS41</v>
      </c>
      <c r="B77" s="176" t="str">
        <f t="shared" si="23"/>
        <v>Men's Basketball</v>
      </c>
      <c r="C77" s="177" t="s">
        <v>22</v>
      </c>
      <c r="D77" s="201"/>
      <c r="E77" s="180">
        <f>MENS41!E46</f>
        <v>190492.58000000002</v>
      </c>
      <c r="F77" s="180">
        <f>MENS41!F46</f>
        <v>209909.27000000008</v>
      </c>
      <c r="G77" s="180">
        <f>MENS41!G46</f>
        <v>237297.28</v>
      </c>
      <c r="H77" s="180">
        <f>MENS41!H46</f>
        <v>269735</v>
      </c>
      <c r="I77" s="180">
        <f>MENS41!I46</f>
        <v>219780</v>
      </c>
      <c r="J77" s="180">
        <f>I77-H77</f>
        <v>-49955</v>
      </c>
      <c r="K77" s="359">
        <f>(I77-H77)/H77</f>
        <v>-0.18520028917270653</v>
      </c>
      <c r="L77" s="180">
        <f>MENS41!L46</f>
        <v>30000</v>
      </c>
      <c r="M77" s="180">
        <f>MENS41!M46</f>
        <v>0</v>
      </c>
      <c r="N77" s="180">
        <f>MENS41!N46</f>
        <v>0</v>
      </c>
      <c r="O77" s="180">
        <f>MENS41!O46</f>
        <v>6593</v>
      </c>
      <c r="P77" s="345" t="s">
        <v>1001</v>
      </c>
    </row>
    <row r="78" spans="1:19" ht="13.5" thickBot="1" x14ac:dyDescent="0.25">
      <c r="A78" s="303" t="str">
        <f t="shared" ref="A78:B78" si="24">A77</f>
        <v>MENS41</v>
      </c>
      <c r="B78" s="303" t="str">
        <f t="shared" si="24"/>
        <v>Men's Basketball</v>
      </c>
      <c r="C78" s="304" t="s">
        <v>702</v>
      </c>
      <c r="D78" s="304"/>
      <c r="E78" s="305">
        <f>E76+E77</f>
        <v>316618.48</v>
      </c>
      <c r="F78" s="305">
        <f>F76+F77</f>
        <v>263924.4200000001</v>
      </c>
      <c r="G78" s="305">
        <f>G76+G77</f>
        <v>295016.94</v>
      </c>
      <c r="H78" s="305">
        <f>H76+H77</f>
        <v>315231</v>
      </c>
      <c r="I78" s="305">
        <f>I76+I77</f>
        <v>265280</v>
      </c>
      <c r="J78" s="305">
        <f>I78-H78</f>
        <v>-49951</v>
      </c>
      <c r="K78" s="360">
        <f>(I78-H78)/H78</f>
        <v>-0.15845840034768155</v>
      </c>
      <c r="L78" s="305">
        <f>L76+L77</f>
        <v>30000</v>
      </c>
      <c r="M78" s="305">
        <f>M76+M77</f>
        <v>0</v>
      </c>
      <c r="N78" s="305">
        <f>N76+N77</f>
        <v>0</v>
      </c>
      <c r="O78" s="305">
        <f>O76+O77</f>
        <v>6593</v>
      </c>
      <c r="P78" s="306"/>
      <c r="Q78" s="307">
        <f>H78-G78</f>
        <v>20214.059999999998</v>
      </c>
    </row>
    <row r="80" spans="1:19" ht="13.5" customHeight="1" thickBot="1" x14ac:dyDescent="0.25">
      <c r="A80" s="299" t="str">
        <f>MENS42!C1</f>
        <v>MENS42</v>
      </c>
      <c r="B80" s="299" t="str">
        <f>MENS42!C2</f>
        <v>Men's Cross Country</v>
      </c>
      <c r="C80" s="300" t="s">
        <v>697</v>
      </c>
      <c r="D80" s="301"/>
      <c r="E80" s="302">
        <f>MENS42!E8</f>
        <v>25442.07</v>
      </c>
      <c r="F80" s="302">
        <f>MENS42!F8</f>
        <v>27111.89</v>
      </c>
      <c r="G80" s="302">
        <f>MENS42!G8</f>
        <v>21424.35</v>
      </c>
      <c r="H80" s="302">
        <f>MENS42!H8</f>
        <v>26134.720000000001</v>
      </c>
      <c r="I80" s="302">
        <f>MENS42!I8</f>
        <v>26134.720000000001</v>
      </c>
      <c r="J80" s="302">
        <f>I80-H80</f>
        <v>0</v>
      </c>
      <c r="K80" s="357">
        <f>(I80-H80)/H80</f>
        <v>0</v>
      </c>
      <c r="L80" s="302">
        <f>MENS42!L8</f>
        <v>0</v>
      </c>
      <c r="M80" s="302">
        <f>MENS42!M8</f>
        <v>0</v>
      </c>
      <c r="N80" s="302">
        <f>MENS42!N8</f>
        <v>0</v>
      </c>
      <c r="O80" s="302">
        <f>MENS42!O8</f>
        <v>0</v>
      </c>
      <c r="P80" s="308"/>
      <c r="Q80" s="157"/>
      <c r="R80" s="157"/>
      <c r="S80" s="157"/>
    </row>
    <row r="81" spans="1:19" ht="13.5" thickBot="1" x14ac:dyDescent="0.25">
      <c r="A81" s="176" t="str">
        <f t="shared" ref="A81:B81" si="25">A80</f>
        <v>MENS42</v>
      </c>
      <c r="B81" s="176" t="str">
        <f t="shared" si="25"/>
        <v>Men's Cross Country</v>
      </c>
      <c r="C81" s="183" t="s">
        <v>704</v>
      </c>
      <c r="D81" s="184"/>
      <c r="E81" s="185">
        <f>MENS42!E18</f>
        <v>7974.74</v>
      </c>
      <c r="F81" s="185">
        <f>MENS42!F18</f>
        <v>8493.6</v>
      </c>
      <c r="G81" s="185">
        <f>MENS42!G18</f>
        <v>8005.26</v>
      </c>
      <c r="H81" s="185">
        <f>MENS42!H18</f>
        <v>2014.32</v>
      </c>
      <c r="I81" s="185">
        <f>MENS42!I18</f>
        <v>2000</v>
      </c>
      <c r="J81" s="185">
        <f>I81-H81</f>
        <v>-14.319999999999936</v>
      </c>
      <c r="K81" s="358">
        <f>(I81-H81)/H81</f>
        <v>-7.1090988522180872E-3</v>
      </c>
      <c r="L81" s="185">
        <f>MENS42!L18</f>
        <v>0</v>
      </c>
      <c r="M81" s="185">
        <f>MENS42!M18</f>
        <v>0</v>
      </c>
      <c r="N81" s="185">
        <f>MENS42!N18</f>
        <v>0</v>
      </c>
      <c r="O81" s="185">
        <f>MENS42!O18</f>
        <v>0</v>
      </c>
      <c r="P81" s="187"/>
      <c r="Q81" s="157"/>
      <c r="R81" s="157"/>
      <c r="S81" s="157"/>
    </row>
    <row r="82" spans="1:19" ht="26.25" thickBot="1" x14ac:dyDescent="0.25">
      <c r="A82" s="176" t="str">
        <f t="shared" ref="A82:B82" si="26">A81</f>
        <v>MENS42</v>
      </c>
      <c r="B82" s="176" t="str">
        <f t="shared" si="26"/>
        <v>Men's Cross Country</v>
      </c>
      <c r="C82" s="177" t="s">
        <v>22</v>
      </c>
      <c r="D82" s="201"/>
      <c r="E82" s="180">
        <f>MENS42!E37</f>
        <v>9989.02</v>
      </c>
      <c r="F82" s="180">
        <f>MENS42!F37</f>
        <v>9991.82</v>
      </c>
      <c r="G82" s="180">
        <f>MENS42!G37</f>
        <v>9285.86</v>
      </c>
      <c r="H82" s="180">
        <f>MENS42!H37</f>
        <v>7362.829999999999</v>
      </c>
      <c r="I82" s="180">
        <f>MENS42!I37</f>
        <v>6062</v>
      </c>
      <c r="J82" s="180">
        <f>I82-H82</f>
        <v>-1300.829999999999</v>
      </c>
      <c r="K82" s="359">
        <f>(I82-H82)/H82</f>
        <v>-0.17667527295890292</v>
      </c>
      <c r="L82" s="180">
        <f>MENS42!L37</f>
        <v>300</v>
      </c>
      <c r="M82" s="180">
        <f>MENS42!M37</f>
        <v>0</v>
      </c>
      <c r="N82" s="180">
        <f>MENS42!N37</f>
        <v>0</v>
      </c>
      <c r="O82" s="180">
        <f>MENS42!O37</f>
        <v>182</v>
      </c>
      <c r="P82" s="345" t="s">
        <v>1001</v>
      </c>
    </row>
    <row r="83" spans="1:19" ht="13.5" thickBot="1" x14ac:dyDescent="0.25">
      <c r="A83" s="303" t="str">
        <f t="shared" ref="A83:B83" si="27">A82</f>
        <v>MENS42</v>
      </c>
      <c r="B83" s="303" t="str">
        <f t="shared" si="27"/>
        <v>Men's Cross Country</v>
      </c>
      <c r="C83" s="304" t="s">
        <v>702</v>
      </c>
      <c r="D83" s="304"/>
      <c r="E83" s="305">
        <f>E81+E82</f>
        <v>17963.760000000002</v>
      </c>
      <c r="F83" s="305">
        <f>F81+F82</f>
        <v>18485.419999999998</v>
      </c>
      <c r="G83" s="305">
        <f>G81+G82</f>
        <v>17291.120000000003</v>
      </c>
      <c r="H83" s="305">
        <f>H81+H82</f>
        <v>9377.15</v>
      </c>
      <c r="I83" s="305">
        <f>I81+I82</f>
        <v>8062</v>
      </c>
      <c r="J83" s="305">
        <f>I83-H83</f>
        <v>-1315.1499999999996</v>
      </c>
      <c r="K83" s="360">
        <f>(I83-H83)/H83</f>
        <v>-0.14025050255141483</v>
      </c>
      <c r="L83" s="305">
        <f>L81+L82</f>
        <v>300</v>
      </c>
      <c r="M83" s="305">
        <f>M81+M82</f>
        <v>0</v>
      </c>
      <c r="N83" s="305">
        <f>N81+N82</f>
        <v>0</v>
      </c>
      <c r="O83" s="305">
        <f>O81+O82</f>
        <v>182</v>
      </c>
      <c r="P83" s="306"/>
      <c r="Q83" s="307">
        <f>H83-G83</f>
        <v>-7913.970000000003</v>
      </c>
    </row>
    <row r="85" spans="1:19" ht="13.5" customHeight="1" thickBot="1" x14ac:dyDescent="0.25">
      <c r="A85" s="299" t="str">
        <f>MENS43!C1</f>
        <v>MENS43</v>
      </c>
      <c r="B85" s="299" t="str">
        <f>MENS43!C2</f>
        <v>Men's Football</v>
      </c>
      <c r="C85" s="300" t="s">
        <v>697</v>
      </c>
      <c r="D85" s="301"/>
      <c r="E85" s="302">
        <f>MENS43!E8</f>
        <v>459824.83</v>
      </c>
      <c r="F85" s="302">
        <f>MENS43!F8</f>
        <v>444652.51</v>
      </c>
      <c r="G85" s="302">
        <f>MENS43!G8</f>
        <v>390293.24</v>
      </c>
      <c r="H85" s="302">
        <f>MENS43!H8</f>
        <v>445785.45663999999</v>
      </c>
      <c r="I85" s="302">
        <f>MENS43!I8</f>
        <v>445785.45663999999</v>
      </c>
      <c r="J85" s="302">
        <f>I85-H85</f>
        <v>0</v>
      </c>
      <c r="K85" s="357">
        <f>(I85-H85)/H85</f>
        <v>0</v>
      </c>
      <c r="L85" s="302">
        <f>MENS43!L8</f>
        <v>0</v>
      </c>
      <c r="M85" s="302">
        <f>MENS43!M8</f>
        <v>0</v>
      </c>
      <c r="N85" s="302">
        <f>MENS43!N8</f>
        <v>0</v>
      </c>
      <c r="O85" s="302">
        <f>MENS43!O8</f>
        <v>0</v>
      </c>
      <c r="P85" s="308"/>
      <c r="Q85" s="157"/>
      <c r="R85" s="157"/>
      <c r="S85" s="157"/>
    </row>
    <row r="86" spans="1:19" ht="13.5" thickBot="1" x14ac:dyDescent="0.25">
      <c r="A86" s="176" t="str">
        <f t="shared" ref="A86:B86" si="28">A85</f>
        <v>MENS43</v>
      </c>
      <c r="B86" s="176" t="str">
        <f t="shared" si="28"/>
        <v>Men's Football</v>
      </c>
      <c r="C86" s="183" t="s">
        <v>704</v>
      </c>
      <c r="D86" s="184"/>
      <c r="E86" s="185">
        <f>MENS43!E18</f>
        <v>113890.03</v>
      </c>
      <c r="F86" s="185">
        <f>MENS43!F18</f>
        <v>126019.61</v>
      </c>
      <c r="G86" s="185">
        <f>MENS43!G18</f>
        <v>150259.77000000002</v>
      </c>
      <c r="H86" s="185">
        <f>MENS43!H18</f>
        <v>123520.51</v>
      </c>
      <c r="I86" s="185">
        <f>MENS43!I18</f>
        <v>126000</v>
      </c>
      <c r="J86" s="185">
        <f>I86-H86</f>
        <v>2479.4900000000052</v>
      </c>
      <c r="K86" s="358">
        <f>(I86-H86)/H86</f>
        <v>2.0073508440015389E-2</v>
      </c>
      <c r="L86" s="185">
        <f>MENS43!L18</f>
        <v>0</v>
      </c>
      <c r="M86" s="185">
        <f>MENS43!M18</f>
        <v>0</v>
      </c>
      <c r="N86" s="185">
        <f>MENS43!N18</f>
        <v>0</v>
      </c>
      <c r="O86" s="185">
        <f>MENS43!O18</f>
        <v>600</v>
      </c>
      <c r="P86" s="187"/>
      <c r="Q86" s="157"/>
      <c r="R86" s="157"/>
      <c r="S86" s="157"/>
    </row>
    <row r="87" spans="1:19" ht="26.25" thickBot="1" x14ac:dyDescent="0.25">
      <c r="A87" s="176" t="str">
        <f t="shared" ref="A87:B87" si="29">A86</f>
        <v>MENS43</v>
      </c>
      <c r="B87" s="176" t="str">
        <f t="shared" si="29"/>
        <v>Men's Football</v>
      </c>
      <c r="C87" s="177" t="s">
        <v>22</v>
      </c>
      <c r="D87" s="201"/>
      <c r="E87" s="180">
        <f>MENS43!E51</f>
        <v>356063.00000000006</v>
      </c>
      <c r="F87" s="180">
        <f>MENS43!F51</f>
        <v>324141.2900000001</v>
      </c>
      <c r="G87" s="180">
        <f>MENS43!G51</f>
        <v>350483.87000000005</v>
      </c>
      <c r="H87" s="180">
        <f>MENS43!H51</f>
        <v>464038</v>
      </c>
      <c r="I87" s="180">
        <f>MENS43!I51</f>
        <v>448516</v>
      </c>
      <c r="J87" s="180">
        <f>I87-H87</f>
        <v>-15522</v>
      </c>
      <c r="K87" s="359">
        <f>(I87-H87)/H87</f>
        <v>-3.3449846779789585E-2</v>
      </c>
      <c r="L87" s="180">
        <f>MENS43!L51</f>
        <v>25000</v>
      </c>
      <c r="M87" s="180">
        <f>MENS43!M51</f>
        <v>0</v>
      </c>
      <c r="N87" s="180">
        <f>MENS43!N51</f>
        <v>0</v>
      </c>
      <c r="O87" s="180">
        <f>MENS43!O51</f>
        <v>16635</v>
      </c>
      <c r="P87" s="345" t="s">
        <v>1001</v>
      </c>
    </row>
    <row r="88" spans="1:19" ht="13.5" thickBot="1" x14ac:dyDescent="0.25">
      <c r="A88" s="303" t="str">
        <f t="shared" ref="A88:B88" si="30">A87</f>
        <v>MENS43</v>
      </c>
      <c r="B88" s="303" t="str">
        <f t="shared" si="30"/>
        <v>Men's Football</v>
      </c>
      <c r="C88" s="304" t="s">
        <v>702</v>
      </c>
      <c r="D88" s="304"/>
      <c r="E88" s="305">
        <f>E86+E87</f>
        <v>469953.03</v>
      </c>
      <c r="F88" s="305">
        <f>F86+F87</f>
        <v>450160.90000000008</v>
      </c>
      <c r="G88" s="305">
        <f>G86+G87</f>
        <v>500743.64000000007</v>
      </c>
      <c r="H88" s="305">
        <f>H86+H87</f>
        <v>587558.51</v>
      </c>
      <c r="I88" s="305">
        <f>I86+I87</f>
        <v>574516</v>
      </c>
      <c r="J88" s="305">
        <f>I88-H88</f>
        <v>-13042.510000000009</v>
      </c>
      <c r="K88" s="360">
        <f>(I88-H88)/H88</f>
        <v>-2.2197806308685765E-2</v>
      </c>
      <c r="L88" s="305">
        <f>L86+L87</f>
        <v>25000</v>
      </c>
      <c r="M88" s="305">
        <f>M86+M87</f>
        <v>0</v>
      </c>
      <c r="N88" s="305">
        <f>N86+N87</f>
        <v>0</v>
      </c>
      <c r="O88" s="305">
        <f>O86+O87</f>
        <v>17235</v>
      </c>
      <c r="P88" s="306"/>
      <c r="Q88" s="307">
        <f>H88-G88</f>
        <v>86814.869999999937</v>
      </c>
    </row>
    <row r="90" spans="1:19" ht="13.5" customHeight="1" thickBot="1" x14ac:dyDescent="0.25">
      <c r="A90" s="299" t="str">
        <f>MENS44!C1</f>
        <v>MENS44</v>
      </c>
      <c r="B90" s="299" t="str">
        <f>MENS44!C2</f>
        <v>Men's Golf</v>
      </c>
      <c r="C90" s="300" t="s">
        <v>697</v>
      </c>
      <c r="D90" s="301"/>
      <c r="E90" s="302">
        <f>MENS44!E8</f>
        <v>48252.33</v>
      </c>
      <c r="F90" s="302">
        <f>MENS44!F8</f>
        <v>49000.14</v>
      </c>
      <c r="G90" s="302">
        <f>MENS44!G8</f>
        <v>52942.7</v>
      </c>
      <c r="H90" s="302">
        <f>MENS44!H8</f>
        <v>0</v>
      </c>
      <c r="I90" s="302">
        <f>MENS44!I8</f>
        <v>0</v>
      </c>
      <c r="J90" s="302">
        <f>I90-H90</f>
        <v>0</v>
      </c>
      <c r="K90" s="357" t="e">
        <f>(I90-H90)/H90</f>
        <v>#DIV/0!</v>
      </c>
      <c r="L90" s="302">
        <f>MENS44!L8</f>
        <v>0</v>
      </c>
      <c r="M90" s="302">
        <f>MENS44!M8</f>
        <v>0</v>
      </c>
      <c r="N90" s="302">
        <f>MENS44!N8</f>
        <v>0</v>
      </c>
      <c r="O90" s="302">
        <f>MENS44!O8</f>
        <v>0</v>
      </c>
      <c r="P90" s="308"/>
      <c r="Q90" s="157"/>
      <c r="R90" s="157"/>
      <c r="S90" s="157"/>
    </row>
    <row r="91" spans="1:19" ht="13.5" thickBot="1" x14ac:dyDescent="0.25">
      <c r="A91" s="176" t="str">
        <f t="shared" ref="A91:B91" si="31">A90</f>
        <v>MENS44</v>
      </c>
      <c r="B91" s="176" t="str">
        <f t="shared" si="31"/>
        <v>Men's Golf</v>
      </c>
      <c r="C91" s="183" t="s">
        <v>704</v>
      </c>
      <c r="D91" s="184"/>
      <c r="E91" s="185">
        <f>MENS44!E18</f>
        <v>0</v>
      </c>
      <c r="F91" s="185">
        <f>MENS44!F18</f>
        <v>0</v>
      </c>
      <c r="G91" s="185">
        <f>MENS44!G18</f>
        <v>0</v>
      </c>
      <c r="H91" s="185">
        <f>MENS44!H18</f>
        <v>0</v>
      </c>
      <c r="I91" s="185">
        <f>MENS44!I18</f>
        <v>0</v>
      </c>
      <c r="J91" s="185">
        <f>I91-H91</f>
        <v>0</v>
      </c>
      <c r="K91" s="358" t="e">
        <f>(I91-H91)/H91</f>
        <v>#DIV/0!</v>
      </c>
      <c r="L91" s="185">
        <f>MENS44!L18</f>
        <v>0</v>
      </c>
      <c r="M91" s="185">
        <f>MENS44!M18</f>
        <v>0</v>
      </c>
      <c r="N91" s="185">
        <f>MENS44!N18</f>
        <v>0</v>
      </c>
      <c r="O91" s="185">
        <f>MENS44!O18</f>
        <v>0</v>
      </c>
      <c r="P91" s="187"/>
      <c r="Q91" s="157"/>
      <c r="R91" s="157"/>
      <c r="S91" s="157"/>
    </row>
    <row r="92" spans="1:19" ht="13.5" thickBot="1" x14ac:dyDescent="0.25">
      <c r="A92" s="176" t="str">
        <f t="shared" ref="A92:B92" si="32">A91</f>
        <v>MENS44</v>
      </c>
      <c r="B92" s="176" t="str">
        <f t="shared" si="32"/>
        <v>Men's Golf</v>
      </c>
      <c r="C92" s="177" t="s">
        <v>22</v>
      </c>
      <c r="D92" s="201"/>
      <c r="E92" s="180">
        <f>MENS44!E38</f>
        <v>21788.77</v>
      </c>
      <c r="F92" s="180">
        <f>MENS44!F38</f>
        <v>23113.95</v>
      </c>
      <c r="G92" s="180">
        <f>MENS44!G38</f>
        <v>37601.47</v>
      </c>
      <c r="H92" s="180">
        <f>MENS44!H38</f>
        <v>0</v>
      </c>
      <c r="I92" s="180">
        <f>MENS44!I38</f>
        <v>0</v>
      </c>
      <c r="J92" s="180">
        <f>I92-H92</f>
        <v>0</v>
      </c>
      <c r="K92" s="359" t="e">
        <f>(I92-H92)/H92</f>
        <v>#DIV/0!</v>
      </c>
      <c r="L92" s="180">
        <f>MENS44!L38</f>
        <v>0</v>
      </c>
      <c r="M92" s="180">
        <f>MENS44!M38</f>
        <v>0</v>
      </c>
      <c r="N92" s="180">
        <f>MENS44!N38</f>
        <v>0</v>
      </c>
      <c r="O92" s="180">
        <f>MENS44!O38</f>
        <v>0</v>
      </c>
      <c r="P92" s="187"/>
    </row>
    <row r="93" spans="1:19" ht="13.5" thickBot="1" x14ac:dyDescent="0.25">
      <c r="A93" s="303" t="str">
        <f t="shared" ref="A93:B93" si="33">A92</f>
        <v>MENS44</v>
      </c>
      <c r="B93" s="303" t="str">
        <f t="shared" si="33"/>
        <v>Men's Golf</v>
      </c>
      <c r="C93" s="304" t="s">
        <v>702</v>
      </c>
      <c r="D93" s="304"/>
      <c r="E93" s="305">
        <f>E91+E92</f>
        <v>21788.77</v>
      </c>
      <c r="F93" s="305">
        <f>F91+F92</f>
        <v>23113.95</v>
      </c>
      <c r="G93" s="305">
        <f>G91+G92</f>
        <v>37601.47</v>
      </c>
      <c r="H93" s="305">
        <f>H91+H92</f>
        <v>0</v>
      </c>
      <c r="I93" s="305">
        <f>I91+I92</f>
        <v>0</v>
      </c>
      <c r="J93" s="305">
        <f>I93-H93</f>
        <v>0</v>
      </c>
      <c r="K93" s="360" t="e">
        <f>(I93-H93)/H93</f>
        <v>#DIV/0!</v>
      </c>
      <c r="L93" s="305">
        <f>L91+L92</f>
        <v>0</v>
      </c>
      <c r="M93" s="305">
        <f>M91+M92</f>
        <v>0</v>
      </c>
      <c r="N93" s="305">
        <f>N91+N92</f>
        <v>0</v>
      </c>
      <c r="O93" s="305">
        <f>O91+O92</f>
        <v>0</v>
      </c>
      <c r="P93" s="306"/>
      <c r="Q93" s="307">
        <f>H93-G93</f>
        <v>-37601.47</v>
      </c>
    </row>
    <row r="94" spans="1:19" ht="12.75" customHeight="1" x14ac:dyDescent="0.2"/>
    <row r="95" spans="1:19" ht="13.5" customHeight="1" thickBot="1" x14ac:dyDescent="0.25">
      <c r="A95" s="299" t="str">
        <f>MENS46!C1</f>
        <v>MENS46</v>
      </c>
      <c r="B95" s="299" t="str">
        <f>MENS46!C2</f>
        <v>Men's Soccer</v>
      </c>
      <c r="C95" s="300" t="s">
        <v>697</v>
      </c>
      <c r="D95" s="301"/>
      <c r="E95" s="302">
        <f>MENS46!E8</f>
        <v>151420.94</v>
      </c>
      <c r="F95" s="302">
        <f>MENS46!F8</f>
        <v>152033.01999999999</v>
      </c>
      <c r="G95" s="302">
        <f>MENS46!G8</f>
        <v>149702.92000000001</v>
      </c>
      <c r="H95" s="302">
        <f>MENS46!H8</f>
        <v>162457</v>
      </c>
      <c r="I95" s="302">
        <f>MENS46!I8</f>
        <v>162457</v>
      </c>
      <c r="J95" s="302">
        <f>I95-H95</f>
        <v>0</v>
      </c>
      <c r="K95" s="357">
        <f>(I95-H95)/H95</f>
        <v>0</v>
      </c>
      <c r="L95" s="302">
        <f>MENS46!L8</f>
        <v>0</v>
      </c>
      <c r="M95" s="302">
        <f>MENS46!M8</f>
        <v>0</v>
      </c>
      <c r="N95" s="302">
        <f>MENS46!N8</f>
        <v>0</v>
      </c>
      <c r="O95" s="302">
        <f>MENS46!O8</f>
        <v>0</v>
      </c>
      <c r="P95" s="308"/>
      <c r="Q95" s="157"/>
      <c r="R95" s="157"/>
      <c r="S95" s="157"/>
    </row>
    <row r="96" spans="1:19" ht="13.5" thickBot="1" x14ac:dyDescent="0.25">
      <c r="A96" s="176" t="str">
        <f t="shared" ref="A96:B96" si="34">A95</f>
        <v>MENS46</v>
      </c>
      <c r="B96" s="176" t="str">
        <f t="shared" si="34"/>
        <v>Men's Soccer</v>
      </c>
      <c r="C96" s="183" t="s">
        <v>704</v>
      </c>
      <c r="D96" s="184"/>
      <c r="E96" s="185">
        <f>MENS46!E18</f>
        <v>16811.48</v>
      </c>
      <c r="F96" s="185">
        <f>MENS46!F18</f>
        <v>15037.3</v>
      </c>
      <c r="G96" s="185">
        <f>MENS46!G18</f>
        <v>12930.6</v>
      </c>
      <c r="H96" s="185">
        <f>MENS46!H18</f>
        <v>13243</v>
      </c>
      <c r="I96" s="185">
        <f>MENS46!I18</f>
        <v>13243</v>
      </c>
      <c r="J96" s="185">
        <f>I96-H96</f>
        <v>0</v>
      </c>
      <c r="K96" s="358">
        <f>(I96-H96)/H96</f>
        <v>0</v>
      </c>
      <c r="L96" s="185">
        <f>MENS46!L18</f>
        <v>0</v>
      </c>
      <c r="M96" s="185">
        <f>MENS46!M18</f>
        <v>0</v>
      </c>
      <c r="N96" s="185">
        <f>MENS46!N18</f>
        <v>0</v>
      </c>
      <c r="O96" s="185">
        <f>MENS46!O18</f>
        <v>0</v>
      </c>
      <c r="P96" s="187"/>
      <c r="Q96" s="157"/>
      <c r="R96" s="157"/>
      <c r="S96" s="157"/>
    </row>
    <row r="97" spans="1:19" ht="26.25" thickBot="1" x14ac:dyDescent="0.25">
      <c r="A97" s="176" t="str">
        <f t="shared" ref="A97:B97" si="35">A96</f>
        <v>MENS46</v>
      </c>
      <c r="B97" s="176" t="str">
        <f t="shared" si="35"/>
        <v>Men's Soccer</v>
      </c>
      <c r="C97" s="177" t="s">
        <v>22</v>
      </c>
      <c r="D97" s="201"/>
      <c r="E97" s="180">
        <f>MENS46!E40</f>
        <v>56209.220000000008</v>
      </c>
      <c r="F97" s="180">
        <f>MENS46!F40</f>
        <v>55519.700000000004</v>
      </c>
      <c r="G97" s="180">
        <f>MENS46!G40</f>
        <v>57378.87</v>
      </c>
      <c r="H97" s="180">
        <f>MENS46!H40</f>
        <v>53688.020000000004</v>
      </c>
      <c r="I97" s="180">
        <f>MENS46!I40</f>
        <v>57134</v>
      </c>
      <c r="J97" s="180">
        <f>I97-H97</f>
        <v>3445.9799999999959</v>
      </c>
      <c r="K97" s="359">
        <f>(I97-H97)/H97</f>
        <v>6.4185268892389694E-2</v>
      </c>
      <c r="L97" s="180">
        <f>MENS46!L40</f>
        <v>4000</v>
      </c>
      <c r="M97" s="180">
        <f>MENS46!M40</f>
        <v>0</v>
      </c>
      <c r="N97" s="180">
        <f>MENS46!N40</f>
        <v>0</v>
      </c>
      <c r="O97" s="180">
        <f>MENS46!O40</f>
        <v>1714</v>
      </c>
      <c r="P97" s="345" t="s">
        <v>1001</v>
      </c>
    </row>
    <row r="98" spans="1:19" ht="13.5" thickBot="1" x14ac:dyDescent="0.25">
      <c r="A98" s="303" t="str">
        <f t="shared" ref="A98:B98" si="36">A97</f>
        <v>MENS46</v>
      </c>
      <c r="B98" s="303" t="str">
        <f t="shared" si="36"/>
        <v>Men's Soccer</v>
      </c>
      <c r="C98" s="304" t="s">
        <v>702</v>
      </c>
      <c r="D98" s="304"/>
      <c r="E98" s="305">
        <f>E96+E97</f>
        <v>73020.700000000012</v>
      </c>
      <c r="F98" s="305">
        <f>F96+F97</f>
        <v>70557</v>
      </c>
      <c r="G98" s="305">
        <f>G96+G97</f>
        <v>70309.47</v>
      </c>
      <c r="H98" s="305">
        <f>H96+H97</f>
        <v>66931.02</v>
      </c>
      <c r="I98" s="305">
        <f>I96+I97</f>
        <v>70377</v>
      </c>
      <c r="J98" s="305">
        <f>I98-H98</f>
        <v>3445.9799999999959</v>
      </c>
      <c r="K98" s="360">
        <f>(I98-H98)/H98</f>
        <v>5.1485544370905981E-2</v>
      </c>
      <c r="L98" s="305">
        <f>L96+L97</f>
        <v>4000</v>
      </c>
      <c r="M98" s="305">
        <f>M96+M97</f>
        <v>0</v>
      </c>
      <c r="N98" s="305">
        <f>N96+N97</f>
        <v>0</v>
      </c>
      <c r="O98" s="305">
        <f>O96+O97</f>
        <v>1714</v>
      </c>
      <c r="P98" s="306"/>
      <c r="Q98" s="307">
        <f>H98-G98</f>
        <v>-3378.4499999999971</v>
      </c>
    </row>
    <row r="100" spans="1:19" ht="13.5" customHeight="1" thickBot="1" x14ac:dyDescent="0.25">
      <c r="A100" s="299" t="str">
        <f>MENS50!C1</f>
        <v>MENS50</v>
      </c>
      <c r="B100" s="299" t="str">
        <f>MENS50!C2</f>
        <v>Men's Track</v>
      </c>
      <c r="C100" s="300" t="s">
        <v>697</v>
      </c>
      <c r="D100" s="301"/>
      <c r="E100" s="302">
        <f>MENS50!E8</f>
        <v>54064.24</v>
      </c>
      <c r="F100" s="302">
        <f>MENS50!F8</f>
        <v>57612.91</v>
      </c>
      <c r="G100" s="302">
        <f>MENS50!G8</f>
        <v>45526.729999999996</v>
      </c>
      <c r="H100" s="302">
        <f>MENS50!H8</f>
        <v>55536.28</v>
      </c>
      <c r="I100" s="302">
        <f>MENS50!I8</f>
        <v>55536.28</v>
      </c>
      <c r="J100" s="302">
        <f>I100-H100</f>
        <v>0</v>
      </c>
      <c r="K100" s="357">
        <f>(I100-H100)/H100</f>
        <v>0</v>
      </c>
      <c r="L100" s="302">
        <f>MENS50!L8</f>
        <v>0</v>
      </c>
      <c r="M100" s="302">
        <f>MENS50!M8</f>
        <v>0</v>
      </c>
      <c r="N100" s="302">
        <f>MENS50!N8</f>
        <v>0</v>
      </c>
      <c r="O100" s="302">
        <f>MENS50!O8</f>
        <v>0</v>
      </c>
      <c r="P100" s="308"/>
      <c r="Q100" s="157"/>
      <c r="R100" s="157"/>
      <c r="S100" s="157"/>
    </row>
    <row r="101" spans="1:19" ht="13.5" thickBot="1" x14ac:dyDescent="0.25">
      <c r="A101" s="176" t="str">
        <f t="shared" ref="A101:B101" si="37">A100</f>
        <v>MENS50</v>
      </c>
      <c r="B101" s="176" t="str">
        <f t="shared" si="37"/>
        <v>Men's Track</v>
      </c>
      <c r="C101" s="183" t="s">
        <v>704</v>
      </c>
      <c r="D101" s="184"/>
      <c r="E101" s="185">
        <f>MENS50!E18</f>
        <v>13492.64</v>
      </c>
      <c r="F101" s="185">
        <f>MENS50!F18</f>
        <v>0</v>
      </c>
      <c r="G101" s="185">
        <f>MENS50!G18</f>
        <v>10982.36</v>
      </c>
      <c r="H101" s="185">
        <f>MENS50!H18</f>
        <v>8354</v>
      </c>
      <c r="I101" s="185">
        <f>MENS50!I18</f>
        <v>8000</v>
      </c>
      <c r="J101" s="185">
        <f>I101-H101</f>
        <v>-354</v>
      </c>
      <c r="K101" s="358">
        <f>(I101-H101)/H101</f>
        <v>-4.2374910222647832E-2</v>
      </c>
      <c r="L101" s="185">
        <f>MENS50!L18</f>
        <v>0</v>
      </c>
      <c r="M101" s="185">
        <f>MENS50!M18</f>
        <v>0</v>
      </c>
      <c r="N101" s="185">
        <f>MENS50!N18</f>
        <v>0</v>
      </c>
      <c r="O101" s="185">
        <f>MENS50!O18</f>
        <v>0</v>
      </c>
      <c r="P101" s="187"/>
      <c r="Q101" s="157"/>
      <c r="R101" s="157"/>
      <c r="S101" s="157"/>
    </row>
    <row r="102" spans="1:19" ht="26.25" thickBot="1" x14ac:dyDescent="0.25">
      <c r="A102" s="176" t="str">
        <f t="shared" ref="A102:B102" si="38">A101</f>
        <v>MENS50</v>
      </c>
      <c r="B102" s="176" t="str">
        <f t="shared" si="38"/>
        <v>Men's Track</v>
      </c>
      <c r="C102" s="177" t="s">
        <v>22</v>
      </c>
      <c r="D102" s="201"/>
      <c r="E102" s="180">
        <f>MENS50!E41</f>
        <v>59374.45</v>
      </c>
      <c r="F102" s="180">
        <f>MENS50!F41</f>
        <v>44350.42</v>
      </c>
      <c r="G102" s="180">
        <f>MENS50!G41</f>
        <v>47097.43</v>
      </c>
      <c r="H102" s="180">
        <f>MENS50!H41</f>
        <v>42457.99</v>
      </c>
      <c r="I102" s="180">
        <f>MENS50!I41</f>
        <v>45284</v>
      </c>
      <c r="J102" s="180">
        <f>I102-H102</f>
        <v>2826.010000000002</v>
      </c>
      <c r="K102" s="359">
        <f>(I102-H102)/H102</f>
        <v>6.6560145687537306E-2</v>
      </c>
      <c r="L102" s="180">
        <f>MENS50!L41</f>
        <v>350</v>
      </c>
      <c r="M102" s="180">
        <f>MENS50!M41</f>
        <v>0</v>
      </c>
      <c r="N102" s="180">
        <f>MENS50!N41</f>
        <v>0</v>
      </c>
      <c r="O102" s="180">
        <f>MENS50!O41</f>
        <v>1359</v>
      </c>
      <c r="P102" s="345" t="s">
        <v>1001</v>
      </c>
    </row>
    <row r="103" spans="1:19" ht="13.5" thickBot="1" x14ac:dyDescent="0.25">
      <c r="A103" s="303" t="str">
        <f t="shared" ref="A103:B103" si="39">A102</f>
        <v>MENS50</v>
      </c>
      <c r="B103" s="303" t="str">
        <f t="shared" si="39"/>
        <v>Men's Track</v>
      </c>
      <c r="C103" s="304" t="s">
        <v>702</v>
      </c>
      <c r="D103" s="304"/>
      <c r="E103" s="305">
        <f>E101+E102</f>
        <v>72867.09</v>
      </c>
      <c r="F103" s="305">
        <f>F101+F102</f>
        <v>44350.42</v>
      </c>
      <c r="G103" s="305">
        <f>G101+G102</f>
        <v>58079.79</v>
      </c>
      <c r="H103" s="305">
        <f>H101+H102</f>
        <v>50811.99</v>
      </c>
      <c r="I103" s="305">
        <f>I101+I102</f>
        <v>53284</v>
      </c>
      <c r="J103" s="305">
        <f>I103-H103</f>
        <v>2472.010000000002</v>
      </c>
      <c r="K103" s="360">
        <f>(I103-H103)/H103</f>
        <v>4.8650131592956745E-2</v>
      </c>
      <c r="L103" s="305">
        <f>L101+L102</f>
        <v>350</v>
      </c>
      <c r="M103" s="305">
        <f>M101+M102</f>
        <v>0</v>
      </c>
      <c r="N103" s="305">
        <f>N101+N102</f>
        <v>0</v>
      </c>
      <c r="O103" s="305">
        <f>O101+O102</f>
        <v>1359</v>
      </c>
      <c r="P103" s="306"/>
      <c r="Q103" s="307">
        <f>H103-G103</f>
        <v>-7267.8000000000029</v>
      </c>
    </row>
    <row r="105" spans="1:19" ht="13.5" customHeight="1" thickBot="1" x14ac:dyDescent="0.25">
      <c r="A105" s="299" t="str">
        <f>WMNS41!C1</f>
        <v>WMNS41</v>
      </c>
      <c r="B105" s="299" t="str">
        <f>WMNS41!C2</f>
        <v>Women's Basketball</v>
      </c>
      <c r="C105" s="300" t="s">
        <v>697</v>
      </c>
      <c r="D105" s="301"/>
      <c r="E105" s="302">
        <f>WMNS41!E8</f>
        <v>302002.16000000003</v>
      </c>
      <c r="F105" s="302">
        <f>WMNS41!F8</f>
        <v>343281.45999999996</v>
      </c>
      <c r="G105" s="302">
        <f>WMNS41!G8</f>
        <v>331344.27</v>
      </c>
      <c r="H105" s="302">
        <f>WMNS41!H8</f>
        <v>330108.68879636627</v>
      </c>
      <c r="I105" s="302">
        <f>WMNS41!I8</f>
        <v>330108.68879636627</v>
      </c>
      <c r="J105" s="302">
        <f>I105-H105</f>
        <v>0</v>
      </c>
      <c r="K105" s="357">
        <f>(I105-H105)/H105</f>
        <v>0</v>
      </c>
      <c r="L105" s="302">
        <f>WMNS41!L8</f>
        <v>0</v>
      </c>
      <c r="M105" s="302">
        <f>WMNS41!M8</f>
        <v>0</v>
      </c>
      <c r="N105" s="302">
        <f>WMNS41!N8</f>
        <v>0</v>
      </c>
      <c r="O105" s="302">
        <f>WMNS41!O8</f>
        <v>0</v>
      </c>
      <c r="P105" s="308"/>
      <c r="Q105" s="157"/>
      <c r="R105" s="157"/>
      <c r="S105" s="157"/>
    </row>
    <row r="106" spans="1:19" ht="13.5" thickBot="1" x14ac:dyDescent="0.25">
      <c r="A106" s="176" t="str">
        <f t="shared" ref="A106:B106" si="40">A105</f>
        <v>WMNS41</v>
      </c>
      <c r="B106" s="176" t="str">
        <f t="shared" si="40"/>
        <v>Women's Basketball</v>
      </c>
      <c r="C106" s="183" t="s">
        <v>704</v>
      </c>
      <c r="D106" s="184"/>
      <c r="E106" s="185">
        <f>WMNS41!E15</f>
        <v>11994.36</v>
      </c>
      <c r="F106" s="185">
        <f>WMNS41!F15</f>
        <v>0</v>
      </c>
      <c r="G106" s="185">
        <f>WMNS41!G15</f>
        <v>0</v>
      </c>
      <c r="H106" s="185">
        <f>WMNS41!H15</f>
        <v>0</v>
      </c>
      <c r="I106" s="185">
        <f>WMNS41!I15</f>
        <v>0</v>
      </c>
      <c r="J106" s="185">
        <f>I106-H106</f>
        <v>0</v>
      </c>
      <c r="K106" s="358" t="e">
        <f>(I106-H106)/H106</f>
        <v>#DIV/0!</v>
      </c>
      <c r="L106" s="185">
        <f>WMNS41!L15</f>
        <v>0</v>
      </c>
      <c r="M106" s="185">
        <f>WMNS41!M15</f>
        <v>0</v>
      </c>
      <c r="N106" s="185">
        <f>WMNS41!N15</f>
        <v>0</v>
      </c>
      <c r="O106" s="185">
        <f>WMNS41!O15</f>
        <v>0</v>
      </c>
      <c r="P106" s="187"/>
      <c r="Q106" s="157"/>
      <c r="R106" s="157"/>
      <c r="S106" s="157"/>
    </row>
    <row r="107" spans="1:19" ht="26.25" thickBot="1" x14ac:dyDescent="0.25">
      <c r="A107" s="176" t="str">
        <f t="shared" ref="A107:B107" si="41">A106</f>
        <v>WMNS41</v>
      </c>
      <c r="B107" s="176" t="str">
        <f t="shared" si="41"/>
        <v>Women's Basketball</v>
      </c>
      <c r="C107" s="177" t="s">
        <v>22</v>
      </c>
      <c r="D107" s="201"/>
      <c r="E107" s="180">
        <f>WMNS41!E44</f>
        <v>155960.16</v>
      </c>
      <c r="F107" s="180">
        <f>WMNS41!F44</f>
        <v>168646.67000000004</v>
      </c>
      <c r="G107" s="180">
        <f>WMNS41!G44</f>
        <v>165173.06000000003</v>
      </c>
      <c r="H107" s="180">
        <f>WMNS41!H44</f>
        <v>167565</v>
      </c>
      <c r="I107" s="180">
        <f>WMNS41!I44</f>
        <v>150455</v>
      </c>
      <c r="J107" s="180">
        <f>I107-H107</f>
        <v>-17110</v>
      </c>
      <c r="K107" s="359">
        <f>(I107-H107)/H107</f>
        <v>-0.10210962909915555</v>
      </c>
      <c r="L107" s="180">
        <f>WMNS41!L44</f>
        <v>30000</v>
      </c>
      <c r="M107" s="180">
        <f>WMNS41!M44</f>
        <v>0</v>
      </c>
      <c r="N107" s="180">
        <f>WMNS41!N44</f>
        <v>0</v>
      </c>
      <c r="O107" s="180">
        <f>WMNS41!O44</f>
        <v>4514</v>
      </c>
      <c r="P107" s="345" t="s">
        <v>1001</v>
      </c>
    </row>
    <row r="108" spans="1:19" ht="13.5" thickBot="1" x14ac:dyDescent="0.25">
      <c r="A108" s="303" t="str">
        <f t="shared" ref="A108:B108" si="42">A107</f>
        <v>WMNS41</v>
      </c>
      <c r="B108" s="303" t="str">
        <f t="shared" si="42"/>
        <v>Women's Basketball</v>
      </c>
      <c r="C108" s="304" t="s">
        <v>702</v>
      </c>
      <c r="D108" s="304"/>
      <c r="E108" s="305">
        <f>E106+E107</f>
        <v>167954.52000000002</v>
      </c>
      <c r="F108" s="305">
        <f>F106+F107</f>
        <v>168646.67000000004</v>
      </c>
      <c r="G108" s="305">
        <f>G106+G107</f>
        <v>165173.06000000003</v>
      </c>
      <c r="H108" s="305">
        <f>H106+H107</f>
        <v>167565</v>
      </c>
      <c r="I108" s="305">
        <f>I106+I107</f>
        <v>150455</v>
      </c>
      <c r="J108" s="305">
        <f>I108-H108</f>
        <v>-17110</v>
      </c>
      <c r="K108" s="360">
        <f>(I108-H108)/H108</f>
        <v>-0.10210962909915555</v>
      </c>
      <c r="L108" s="305">
        <f>L106+L107</f>
        <v>30000</v>
      </c>
      <c r="M108" s="305">
        <f>M106+M107</f>
        <v>0</v>
      </c>
      <c r="N108" s="305">
        <f>N106+N107</f>
        <v>0</v>
      </c>
      <c r="O108" s="305">
        <f>O106+O107</f>
        <v>4514</v>
      </c>
      <c r="P108" s="306"/>
      <c r="Q108" s="307">
        <f>H108-G108</f>
        <v>2391.9399999999732</v>
      </c>
    </row>
    <row r="110" spans="1:19" ht="13.5" customHeight="1" thickBot="1" x14ac:dyDescent="0.25">
      <c r="A110" s="299" t="str">
        <f>WMNS42!C1</f>
        <v>WMNS42</v>
      </c>
      <c r="B110" s="299" t="str">
        <f>WMNS42!C2</f>
        <v>Women's Cross Country</v>
      </c>
      <c r="C110" s="300" t="s">
        <v>697</v>
      </c>
      <c r="D110" s="301"/>
      <c r="E110" s="302">
        <f>WMNS42!E8</f>
        <v>25442.07</v>
      </c>
      <c r="F110" s="302">
        <f>WMNS42!F8</f>
        <v>27111.89</v>
      </c>
      <c r="G110" s="302">
        <f>WMNS42!G8</f>
        <v>21424.35</v>
      </c>
      <c r="H110" s="302">
        <f>WMNS42!H8</f>
        <v>26134.720000000001</v>
      </c>
      <c r="I110" s="302">
        <f>WMNS42!I8</f>
        <v>26134.720000000001</v>
      </c>
      <c r="J110" s="302">
        <f>I110-H110</f>
        <v>0</v>
      </c>
      <c r="K110" s="357">
        <f>(I110-H110)/H110</f>
        <v>0</v>
      </c>
      <c r="L110" s="302">
        <f>WMNS42!L8</f>
        <v>0</v>
      </c>
      <c r="M110" s="302">
        <f>WMNS42!M8</f>
        <v>0</v>
      </c>
      <c r="N110" s="302">
        <f>WMNS42!N8</f>
        <v>0</v>
      </c>
      <c r="O110" s="302">
        <f>WMNS42!O8</f>
        <v>0</v>
      </c>
      <c r="P110" s="308"/>
      <c r="Q110" s="157"/>
      <c r="R110" s="157"/>
      <c r="S110" s="157"/>
    </row>
    <row r="111" spans="1:19" ht="13.5" thickBot="1" x14ac:dyDescent="0.25">
      <c r="A111" s="176" t="str">
        <f t="shared" ref="A111:B111" si="43">A110</f>
        <v>WMNS42</v>
      </c>
      <c r="B111" s="176" t="str">
        <f t="shared" si="43"/>
        <v>Women's Cross Country</v>
      </c>
      <c r="C111" s="183" t="s">
        <v>704</v>
      </c>
      <c r="D111" s="184"/>
      <c r="E111" s="185">
        <f>WMNS42!E18</f>
        <v>4974.72</v>
      </c>
      <c r="F111" s="185">
        <f>WMNS42!F18</f>
        <v>5101.2</v>
      </c>
      <c r="G111" s="185">
        <f>WMNS42!G18</f>
        <v>5005.26</v>
      </c>
      <c r="H111" s="185">
        <f>WMNS42!H18</f>
        <v>2014.32</v>
      </c>
      <c r="I111" s="185">
        <f>WMNS42!I18</f>
        <v>2000</v>
      </c>
      <c r="J111" s="185">
        <f>I111-H111</f>
        <v>-14.319999999999936</v>
      </c>
      <c r="K111" s="358">
        <f>(I111-H111)/H111</f>
        <v>-7.1090988522180872E-3</v>
      </c>
      <c r="L111" s="185">
        <f>WMNS42!L18</f>
        <v>0</v>
      </c>
      <c r="M111" s="185">
        <f>WMNS42!M18</f>
        <v>0</v>
      </c>
      <c r="N111" s="185">
        <f>WMNS42!N18</f>
        <v>0</v>
      </c>
      <c r="O111" s="185">
        <f>WMNS42!O18</f>
        <v>0</v>
      </c>
      <c r="P111" s="187"/>
      <c r="Q111" s="157"/>
      <c r="R111" s="157"/>
      <c r="S111" s="157"/>
    </row>
    <row r="112" spans="1:19" ht="26.25" thickBot="1" x14ac:dyDescent="0.25">
      <c r="A112" s="176" t="str">
        <f t="shared" ref="A112:B112" si="44">A111</f>
        <v>WMNS42</v>
      </c>
      <c r="B112" s="176" t="str">
        <f t="shared" si="44"/>
        <v>Women's Cross Country</v>
      </c>
      <c r="C112" s="177" t="s">
        <v>22</v>
      </c>
      <c r="D112" s="201"/>
      <c r="E112" s="180">
        <f>WMNS42!E34</f>
        <v>7761.09</v>
      </c>
      <c r="F112" s="180">
        <f>WMNS42!F34</f>
        <v>9145.84</v>
      </c>
      <c r="G112" s="180">
        <f>WMNS42!G34</f>
        <v>7065.09</v>
      </c>
      <c r="H112" s="180">
        <f>WMNS42!H34</f>
        <v>6642.76</v>
      </c>
      <c r="I112" s="180">
        <f>WMNS42!I34</f>
        <v>6048</v>
      </c>
      <c r="J112" s="180">
        <f>I112-H112</f>
        <v>-594.76000000000022</v>
      </c>
      <c r="K112" s="359">
        <f>(I112-H112)/H112</f>
        <v>-8.9535072770956681E-2</v>
      </c>
      <c r="L112" s="180">
        <f>WMNS42!L34</f>
        <v>300</v>
      </c>
      <c r="M112" s="180">
        <f>WMNS42!M34</f>
        <v>0</v>
      </c>
      <c r="N112" s="180">
        <f>WMNS42!N34</f>
        <v>0</v>
      </c>
      <c r="O112" s="180">
        <f>WMNS42!O34</f>
        <v>181</v>
      </c>
      <c r="P112" s="345" t="s">
        <v>1001</v>
      </c>
    </row>
    <row r="113" spans="1:19" ht="13.5" thickBot="1" x14ac:dyDescent="0.25">
      <c r="A113" s="303" t="str">
        <f t="shared" ref="A113:B113" si="45">A112</f>
        <v>WMNS42</v>
      </c>
      <c r="B113" s="303" t="str">
        <f t="shared" si="45"/>
        <v>Women's Cross Country</v>
      </c>
      <c r="C113" s="304" t="s">
        <v>702</v>
      </c>
      <c r="D113" s="304"/>
      <c r="E113" s="305">
        <f>E111+E112</f>
        <v>12735.810000000001</v>
      </c>
      <c r="F113" s="305">
        <f>F111+F112</f>
        <v>14247.04</v>
      </c>
      <c r="G113" s="305">
        <f>G111+G112</f>
        <v>12070.35</v>
      </c>
      <c r="H113" s="305">
        <f>H111+H112</f>
        <v>8657.08</v>
      </c>
      <c r="I113" s="305">
        <f>I111+I112</f>
        <v>8048</v>
      </c>
      <c r="J113" s="305">
        <f>I113-H113</f>
        <v>-609.07999999999993</v>
      </c>
      <c r="K113" s="360">
        <f>(I113-H113)/H113</f>
        <v>-7.0356286415280897E-2</v>
      </c>
      <c r="L113" s="305">
        <f>L111+L112</f>
        <v>300</v>
      </c>
      <c r="M113" s="305">
        <f>M111+M112</f>
        <v>0</v>
      </c>
      <c r="N113" s="305">
        <f>N111+N112</f>
        <v>0</v>
      </c>
      <c r="O113" s="305">
        <f>O111+O112</f>
        <v>181</v>
      </c>
      <c r="P113" s="306"/>
      <c r="Q113" s="307">
        <f>H113-G113</f>
        <v>-3413.2700000000004</v>
      </c>
    </row>
    <row r="115" spans="1:19" ht="13.5" customHeight="1" thickBot="1" x14ac:dyDescent="0.25">
      <c r="A115" s="299" t="str">
        <f>WMNS44!C1</f>
        <v>WMNS44</v>
      </c>
      <c r="B115" s="299" t="str">
        <f>WMNS44!C2</f>
        <v>Women's Golf</v>
      </c>
      <c r="C115" s="300" t="s">
        <v>697</v>
      </c>
      <c r="D115" s="301"/>
      <c r="E115" s="302">
        <f>WMNS44!E8</f>
        <v>47795.360000000001</v>
      </c>
      <c r="F115" s="302">
        <f>WMNS44!F8</f>
        <v>52000.06</v>
      </c>
      <c r="G115" s="302">
        <f>WMNS44!G8</f>
        <v>58375.43</v>
      </c>
      <c r="H115" s="302">
        <f>WMNS44!H8</f>
        <v>0</v>
      </c>
      <c r="I115" s="302">
        <f>WMNS44!I8</f>
        <v>0</v>
      </c>
      <c r="J115" s="302">
        <f>I115-H115</f>
        <v>0</v>
      </c>
      <c r="K115" s="357" t="e">
        <f>(I115-H115)/H115</f>
        <v>#DIV/0!</v>
      </c>
      <c r="L115" s="302">
        <f>WMNS44!L8</f>
        <v>0</v>
      </c>
      <c r="M115" s="302">
        <f>WMNS44!M8</f>
        <v>0</v>
      </c>
      <c r="N115" s="302">
        <f>WMNS44!N8</f>
        <v>0</v>
      </c>
      <c r="O115" s="302">
        <f>WMNS44!O8</f>
        <v>0</v>
      </c>
      <c r="P115" s="308"/>
      <c r="Q115" s="157"/>
      <c r="R115" s="157"/>
      <c r="S115" s="157"/>
    </row>
    <row r="116" spans="1:19" ht="13.5" thickBot="1" x14ac:dyDescent="0.25">
      <c r="A116" s="176" t="str">
        <f t="shared" ref="A116:B116" si="46">A115</f>
        <v>WMNS44</v>
      </c>
      <c r="B116" s="176" t="str">
        <f t="shared" si="46"/>
        <v>Women's Golf</v>
      </c>
      <c r="C116" s="183" t="s">
        <v>704</v>
      </c>
      <c r="D116" s="184"/>
      <c r="E116" s="185">
        <f>WMNS44!E18</f>
        <v>0</v>
      </c>
      <c r="F116" s="185">
        <f>WMNS44!F18</f>
        <v>0</v>
      </c>
      <c r="G116" s="185">
        <f>WMNS44!G18</f>
        <v>0</v>
      </c>
      <c r="H116" s="185">
        <f>WMNS44!H18</f>
        <v>0</v>
      </c>
      <c r="I116" s="185">
        <f>WMNS44!I18</f>
        <v>0</v>
      </c>
      <c r="J116" s="185">
        <f>I116-H116</f>
        <v>0</v>
      </c>
      <c r="K116" s="358" t="e">
        <f>(I116-H116)/H116</f>
        <v>#DIV/0!</v>
      </c>
      <c r="L116" s="185">
        <f>WMNS44!L18</f>
        <v>0</v>
      </c>
      <c r="M116" s="185">
        <f>WMNS44!M18</f>
        <v>0</v>
      </c>
      <c r="N116" s="185">
        <f>WMNS44!N18</f>
        <v>0</v>
      </c>
      <c r="O116" s="185">
        <f>WMNS44!O18</f>
        <v>0</v>
      </c>
      <c r="P116" s="187"/>
      <c r="Q116" s="157"/>
      <c r="R116" s="157"/>
      <c r="S116" s="157"/>
    </row>
    <row r="117" spans="1:19" ht="13.5" thickBot="1" x14ac:dyDescent="0.25">
      <c r="A117" s="176" t="str">
        <f t="shared" ref="A117:B117" si="47">A116</f>
        <v>WMNS44</v>
      </c>
      <c r="B117" s="176" t="str">
        <f t="shared" si="47"/>
        <v>Women's Golf</v>
      </c>
      <c r="C117" s="177" t="s">
        <v>22</v>
      </c>
      <c r="D117" s="201"/>
      <c r="E117" s="180">
        <f>WMNS44!E39</f>
        <v>21799.949999999997</v>
      </c>
      <c r="F117" s="180">
        <f>WMNS44!F39</f>
        <v>21388.1</v>
      </c>
      <c r="G117" s="180">
        <f>WMNS44!G39</f>
        <v>33064.42</v>
      </c>
      <c r="H117" s="180">
        <f>WMNS44!H39</f>
        <v>0</v>
      </c>
      <c r="I117" s="180">
        <f>WMNS44!I39</f>
        <v>0</v>
      </c>
      <c r="J117" s="180">
        <f>I117-H117</f>
        <v>0</v>
      </c>
      <c r="K117" s="359" t="e">
        <f>(I117-H117)/H117</f>
        <v>#DIV/0!</v>
      </c>
      <c r="L117" s="180">
        <f>WMNS44!L39</f>
        <v>0</v>
      </c>
      <c r="M117" s="180">
        <f>WMNS44!M39</f>
        <v>0</v>
      </c>
      <c r="N117" s="180">
        <f>WMNS44!N39</f>
        <v>0</v>
      </c>
      <c r="O117" s="180">
        <f>WMNS44!O39</f>
        <v>0</v>
      </c>
      <c r="P117" s="187"/>
    </row>
    <row r="118" spans="1:19" ht="13.5" thickBot="1" x14ac:dyDescent="0.25">
      <c r="A118" s="303" t="str">
        <f t="shared" ref="A118:B118" si="48">A117</f>
        <v>WMNS44</v>
      </c>
      <c r="B118" s="303" t="str">
        <f t="shared" si="48"/>
        <v>Women's Golf</v>
      </c>
      <c r="C118" s="304" t="s">
        <v>702</v>
      </c>
      <c r="D118" s="304"/>
      <c r="E118" s="305">
        <f>E116+E117</f>
        <v>21799.949999999997</v>
      </c>
      <c r="F118" s="305">
        <f>F116+F117</f>
        <v>21388.1</v>
      </c>
      <c r="G118" s="305">
        <f>G116+G117</f>
        <v>33064.42</v>
      </c>
      <c r="H118" s="305">
        <f>H116+H117</f>
        <v>0</v>
      </c>
      <c r="I118" s="305">
        <f>I116+I117</f>
        <v>0</v>
      </c>
      <c r="J118" s="305">
        <f>I118-H118</f>
        <v>0</v>
      </c>
      <c r="K118" s="360" t="e">
        <f>(I118-H118)/H118</f>
        <v>#DIV/0!</v>
      </c>
      <c r="L118" s="305">
        <f>L116+L117</f>
        <v>0</v>
      </c>
      <c r="M118" s="305">
        <f>M116+M117</f>
        <v>0</v>
      </c>
      <c r="N118" s="305">
        <f>N116+N117</f>
        <v>0</v>
      </c>
      <c r="O118" s="305">
        <f>O116+O117</f>
        <v>0</v>
      </c>
      <c r="P118" s="306"/>
      <c r="Q118" s="307">
        <f>H118-G118</f>
        <v>-33064.42</v>
      </c>
    </row>
    <row r="120" spans="1:19" ht="13.5" customHeight="1" thickBot="1" x14ac:dyDescent="0.25">
      <c r="A120" s="299" t="str">
        <f>WMNS45!C1</f>
        <v>WMNS45</v>
      </c>
      <c r="B120" s="299" t="str">
        <f>WMNS45!C2</f>
        <v>Women's Lacrosse</v>
      </c>
      <c r="C120" s="300" t="s">
        <v>697</v>
      </c>
      <c r="D120" s="301"/>
      <c r="E120" s="302">
        <f>WMNS45!E8</f>
        <v>72970.880000000005</v>
      </c>
      <c r="F120" s="302">
        <f>WMNS45!F8</f>
        <v>58742.27</v>
      </c>
      <c r="G120" s="302">
        <f>WMNS45!G8</f>
        <v>61049.88</v>
      </c>
      <c r="H120" s="302">
        <f>WMNS45!H8</f>
        <v>62000</v>
      </c>
      <c r="I120" s="302">
        <f>WMNS45!I8</f>
        <v>62000</v>
      </c>
      <c r="J120" s="302">
        <f>I120-H120</f>
        <v>0</v>
      </c>
      <c r="K120" s="357">
        <f>(I120-H120)/H120</f>
        <v>0</v>
      </c>
      <c r="L120" s="302">
        <f>WMNS45!L8</f>
        <v>0</v>
      </c>
      <c r="M120" s="302">
        <f>WMNS45!M8</f>
        <v>0</v>
      </c>
      <c r="N120" s="302">
        <f>WMNS45!N8</f>
        <v>0</v>
      </c>
      <c r="O120" s="302">
        <f>WMNS45!O8</f>
        <v>0</v>
      </c>
      <c r="P120" s="308"/>
      <c r="Q120" s="157"/>
      <c r="R120" s="157"/>
      <c r="S120" s="157"/>
    </row>
    <row r="121" spans="1:19" ht="13.5" thickBot="1" x14ac:dyDescent="0.25">
      <c r="A121" s="176" t="str">
        <f t="shared" ref="A121:B121" si="49">A120</f>
        <v>WMNS45</v>
      </c>
      <c r="B121" s="176" t="str">
        <f t="shared" si="49"/>
        <v>Women's Lacrosse</v>
      </c>
      <c r="C121" s="183" t="s">
        <v>704</v>
      </c>
      <c r="D121" s="184"/>
      <c r="E121" s="185">
        <f>WMNS45!E18</f>
        <v>25990</v>
      </c>
      <c r="F121" s="185">
        <f>WMNS45!F18</f>
        <v>16212.24</v>
      </c>
      <c r="G121" s="185">
        <f>WMNS45!G18</f>
        <v>14471.18</v>
      </c>
      <c r="H121" s="185">
        <f>WMNS45!H18</f>
        <v>21898</v>
      </c>
      <c r="I121" s="185">
        <f>WMNS45!I18</f>
        <v>27000</v>
      </c>
      <c r="J121" s="185">
        <f>I121-H121</f>
        <v>5102</v>
      </c>
      <c r="K121" s="358">
        <f>(I121-H121)/H121</f>
        <v>0.2329893140926112</v>
      </c>
      <c r="L121" s="185">
        <f>WMNS45!L18</f>
        <v>0</v>
      </c>
      <c r="M121" s="185">
        <f>WMNS45!M18</f>
        <v>0</v>
      </c>
      <c r="N121" s="185">
        <f>WMNS45!N18</f>
        <v>0</v>
      </c>
      <c r="O121" s="185">
        <f>WMNS45!O18</f>
        <v>0</v>
      </c>
      <c r="P121" s="187"/>
      <c r="Q121" s="157"/>
      <c r="R121" s="157"/>
      <c r="S121" s="157"/>
    </row>
    <row r="122" spans="1:19" ht="26.25" thickBot="1" x14ac:dyDescent="0.25">
      <c r="A122" s="176" t="str">
        <f t="shared" ref="A122:B122" si="50">A121</f>
        <v>WMNS45</v>
      </c>
      <c r="B122" s="176" t="str">
        <f t="shared" si="50"/>
        <v>Women's Lacrosse</v>
      </c>
      <c r="C122" s="177" t="s">
        <v>22</v>
      </c>
      <c r="D122" s="201"/>
      <c r="E122" s="180">
        <f>WMNS45!E51</f>
        <v>65602.820000000007</v>
      </c>
      <c r="F122" s="180">
        <f>WMNS45!F51</f>
        <v>63041.929999999986</v>
      </c>
      <c r="G122" s="180">
        <f>WMNS45!G51</f>
        <v>62327.330000000009</v>
      </c>
      <c r="H122" s="180">
        <f>WMNS45!H51</f>
        <v>39444.17</v>
      </c>
      <c r="I122" s="180">
        <f>WMNS45!I51</f>
        <v>55810</v>
      </c>
      <c r="J122" s="180">
        <f>I122-H122</f>
        <v>16365.830000000002</v>
      </c>
      <c r="K122" s="359">
        <f>(I122-H122)/H122</f>
        <v>0.41491125304449306</v>
      </c>
      <c r="L122" s="180">
        <f>WMNS45!L51</f>
        <v>4000</v>
      </c>
      <c r="M122" s="180">
        <f>WMNS45!M51</f>
        <v>0</v>
      </c>
      <c r="N122" s="180">
        <f>WMNS45!N51</f>
        <v>0</v>
      </c>
      <c r="O122" s="180">
        <f>WMNS45!O51</f>
        <v>1674</v>
      </c>
      <c r="P122" s="345" t="s">
        <v>1001</v>
      </c>
    </row>
    <row r="123" spans="1:19" ht="13.5" thickBot="1" x14ac:dyDescent="0.25">
      <c r="A123" s="303" t="str">
        <f t="shared" ref="A123:B123" si="51">A122</f>
        <v>WMNS45</v>
      </c>
      <c r="B123" s="303" t="str">
        <f t="shared" si="51"/>
        <v>Women's Lacrosse</v>
      </c>
      <c r="C123" s="304" t="s">
        <v>702</v>
      </c>
      <c r="D123" s="304"/>
      <c r="E123" s="305">
        <f>E121+E122</f>
        <v>91592.82</v>
      </c>
      <c r="F123" s="305">
        <f>F121+F122</f>
        <v>79254.169999999984</v>
      </c>
      <c r="G123" s="305">
        <f>G121+G122</f>
        <v>76798.510000000009</v>
      </c>
      <c r="H123" s="305">
        <f>H121+H122</f>
        <v>61342.17</v>
      </c>
      <c r="I123" s="305">
        <f>I121+I122</f>
        <v>82810</v>
      </c>
      <c r="J123" s="305">
        <f>I123-H123</f>
        <v>21467.83</v>
      </c>
      <c r="K123" s="360">
        <f>(I123-H123)/H123</f>
        <v>0.34996854529274074</v>
      </c>
      <c r="L123" s="305">
        <f>L121+L122</f>
        <v>4000</v>
      </c>
      <c r="M123" s="305">
        <f>M121+M122</f>
        <v>0</v>
      </c>
      <c r="N123" s="305">
        <f>N121+N122</f>
        <v>0</v>
      </c>
      <c r="O123" s="305">
        <f>O121+O122</f>
        <v>1674</v>
      </c>
      <c r="P123" s="306"/>
      <c r="Q123" s="307">
        <f>H123-G123</f>
        <v>-15456.340000000011</v>
      </c>
    </row>
    <row r="125" spans="1:19" ht="13.5" customHeight="1" thickBot="1" x14ac:dyDescent="0.25">
      <c r="A125" s="299" t="str">
        <f>WMNS46!C1</f>
        <v>WMNS46</v>
      </c>
      <c r="B125" s="299" t="str">
        <f>WMNS46!C2</f>
        <v>Women's Soccer</v>
      </c>
      <c r="C125" s="300" t="s">
        <v>697</v>
      </c>
      <c r="D125" s="301"/>
      <c r="E125" s="302">
        <f>WMNS46!E8</f>
        <v>191316.8</v>
      </c>
      <c r="F125" s="302">
        <f>WMNS46!F8</f>
        <v>192591.50999999998</v>
      </c>
      <c r="G125" s="302">
        <f>WMNS46!G8</f>
        <v>189737.01</v>
      </c>
      <c r="H125" s="302">
        <f>WMNS46!H8</f>
        <v>184147.91367344139</v>
      </c>
      <c r="I125" s="302">
        <f>WMNS46!I8</f>
        <v>184147.91367344139</v>
      </c>
      <c r="J125" s="302">
        <f>I125-H125</f>
        <v>0</v>
      </c>
      <c r="K125" s="357">
        <f>(I125-H125)/H125</f>
        <v>0</v>
      </c>
      <c r="L125" s="302">
        <f>WMNS46!L8</f>
        <v>0</v>
      </c>
      <c r="M125" s="302">
        <f>WMNS46!M8</f>
        <v>0</v>
      </c>
      <c r="N125" s="302">
        <f>WMNS46!N8</f>
        <v>0</v>
      </c>
      <c r="O125" s="302">
        <f>WMNS46!O8</f>
        <v>0</v>
      </c>
      <c r="P125" s="308"/>
      <c r="Q125" s="157"/>
      <c r="R125" s="157"/>
      <c r="S125" s="157"/>
    </row>
    <row r="126" spans="1:19" ht="13.5" thickBot="1" x14ac:dyDescent="0.25">
      <c r="A126" s="176" t="str">
        <f t="shared" ref="A126:B126" si="52">A125</f>
        <v>WMNS46</v>
      </c>
      <c r="B126" s="176" t="str">
        <f t="shared" si="52"/>
        <v>Women's Soccer</v>
      </c>
      <c r="C126" s="183" t="s">
        <v>704</v>
      </c>
      <c r="D126" s="184"/>
      <c r="E126" s="185">
        <f>WMNS46!E18</f>
        <v>5991.3</v>
      </c>
      <c r="F126" s="185">
        <f>WMNS46!F18</f>
        <v>5991.3</v>
      </c>
      <c r="G126" s="185">
        <f>WMNS46!G18</f>
        <v>5995.08</v>
      </c>
      <c r="H126" s="185">
        <f>WMNS46!H18</f>
        <v>6000</v>
      </c>
      <c r="I126" s="185">
        <f>WMNS46!I18</f>
        <v>6000</v>
      </c>
      <c r="J126" s="185">
        <f>I126-H126</f>
        <v>0</v>
      </c>
      <c r="K126" s="358">
        <f>(I126-H126)/H126</f>
        <v>0</v>
      </c>
      <c r="L126" s="185">
        <f>WMNS46!L18</f>
        <v>0</v>
      </c>
      <c r="M126" s="185">
        <f>WMNS46!M18</f>
        <v>0</v>
      </c>
      <c r="N126" s="185">
        <f>WMNS46!N18</f>
        <v>0</v>
      </c>
      <c r="O126" s="185">
        <f>WMNS46!O18</f>
        <v>0</v>
      </c>
      <c r="P126" s="187"/>
      <c r="Q126" s="157"/>
      <c r="R126" s="157"/>
      <c r="S126" s="157"/>
    </row>
    <row r="127" spans="1:19" ht="26.25" thickBot="1" x14ac:dyDescent="0.25">
      <c r="A127" s="176" t="str">
        <f t="shared" ref="A127:B127" si="53">A126</f>
        <v>WMNS46</v>
      </c>
      <c r="B127" s="176" t="str">
        <f t="shared" si="53"/>
        <v>Women's Soccer</v>
      </c>
      <c r="C127" s="177" t="s">
        <v>22</v>
      </c>
      <c r="D127" s="201"/>
      <c r="E127" s="180">
        <f>WMNS46!E45</f>
        <v>47389.320000000014</v>
      </c>
      <c r="F127" s="180">
        <f>WMNS46!F45</f>
        <v>55266.479999999996</v>
      </c>
      <c r="G127" s="180">
        <f>WMNS46!G45</f>
        <v>53478.630000000005</v>
      </c>
      <c r="H127" s="180">
        <f>WMNS46!H45</f>
        <v>58731.14</v>
      </c>
      <c r="I127" s="180">
        <f>WMNS46!I45</f>
        <v>59265</v>
      </c>
      <c r="J127" s="180">
        <f>I127-H127</f>
        <v>533.86000000000058</v>
      </c>
      <c r="K127" s="359">
        <f>(I127-H127)/H127</f>
        <v>9.0898967736706728E-3</v>
      </c>
      <c r="L127" s="180">
        <f>WMNS46!L45</f>
        <v>4000</v>
      </c>
      <c r="M127" s="180">
        <f>WMNS46!M45</f>
        <v>0</v>
      </c>
      <c r="N127" s="180">
        <f>WMNS46!N45</f>
        <v>0</v>
      </c>
      <c r="O127" s="180">
        <f>WMNS46!O45</f>
        <v>1778</v>
      </c>
      <c r="P127" s="345" t="s">
        <v>1001</v>
      </c>
    </row>
    <row r="128" spans="1:19" ht="13.5" thickBot="1" x14ac:dyDescent="0.25">
      <c r="A128" s="303" t="str">
        <f t="shared" ref="A128:B128" si="54">A127</f>
        <v>WMNS46</v>
      </c>
      <c r="B128" s="303" t="str">
        <f t="shared" si="54"/>
        <v>Women's Soccer</v>
      </c>
      <c r="C128" s="304" t="s">
        <v>702</v>
      </c>
      <c r="D128" s="304"/>
      <c r="E128" s="305">
        <f>E126+E127</f>
        <v>53380.620000000017</v>
      </c>
      <c r="F128" s="305">
        <f>F126+F127</f>
        <v>61257.78</v>
      </c>
      <c r="G128" s="305">
        <f>G126+G127</f>
        <v>59473.710000000006</v>
      </c>
      <c r="H128" s="305">
        <f>H126+H127</f>
        <v>64731.14</v>
      </c>
      <c r="I128" s="305">
        <f>I126+I127</f>
        <v>65265</v>
      </c>
      <c r="J128" s="305">
        <f>I128-H128</f>
        <v>533.86000000000058</v>
      </c>
      <c r="K128" s="360">
        <f>(I128-H128)/H128</f>
        <v>8.2473443229950927E-3</v>
      </c>
      <c r="L128" s="305">
        <f>L126+L127</f>
        <v>4000</v>
      </c>
      <c r="M128" s="305">
        <f>M126+M127</f>
        <v>0</v>
      </c>
      <c r="N128" s="305">
        <f>N126+N127</f>
        <v>0</v>
      </c>
      <c r="O128" s="305">
        <f>O126+O127</f>
        <v>1778</v>
      </c>
      <c r="P128" s="306"/>
      <c r="Q128" s="307">
        <f>H128-G128</f>
        <v>5257.429999999993</v>
      </c>
    </row>
    <row r="130" spans="1:19" ht="13.5" customHeight="1" thickBot="1" x14ac:dyDescent="0.25">
      <c r="A130" s="299" t="str">
        <f>WMNS47!C1</f>
        <v>WMNS47</v>
      </c>
      <c r="B130" s="299" t="str">
        <f>WMNS47!C2</f>
        <v>Women's Softball</v>
      </c>
      <c r="C130" s="300" t="s">
        <v>697</v>
      </c>
      <c r="D130" s="301"/>
      <c r="E130" s="302">
        <f>WMNS47!E8</f>
        <v>117740.97</v>
      </c>
      <c r="F130" s="302">
        <f>WMNS47!F8</f>
        <v>127013.82</v>
      </c>
      <c r="G130" s="302">
        <f>WMNS47!G8</f>
        <v>125067.17000000001</v>
      </c>
      <c r="H130" s="302">
        <f>WMNS47!H8</f>
        <v>127014</v>
      </c>
      <c r="I130" s="302">
        <f>WMNS47!I8</f>
        <v>127014</v>
      </c>
      <c r="J130" s="302">
        <f>I130-H130</f>
        <v>0</v>
      </c>
      <c r="K130" s="357">
        <f>(I130-H130)/H130</f>
        <v>0</v>
      </c>
      <c r="L130" s="302">
        <f>WMNS47!L8</f>
        <v>0</v>
      </c>
      <c r="M130" s="302">
        <f>WMNS47!M8</f>
        <v>0</v>
      </c>
      <c r="N130" s="302">
        <f>WMNS47!N8</f>
        <v>0</v>
      </c>
      <c r="O130" s="302">
        <f>WMNS47!O8</f>
        <v>0</v>
      </c>
      <c r="P130" s="308"/>
      <c r="Q130" s="157"/>
      <c r="R130" s="157"/>
      <c r="S130" s="157"/>
    </row>
    <row r="131" spans="1:19" ht="13.5" thickBot="1" x14ac:dyDescent="0.25">
      <c r="A131" s="176" t="str">
        <f t="shared" ref="A131:B131" si="55">A130</f>
        <v>WMNS47</v>
      </c>
      <c r="B131" s="176" t="str">
        <f t="shared" si="55"/>
        <v>Women's Softball</v>
      </c>
      <c r="C131" s="183" t="s">
        <v>704</v>
      </c>
      <c r="D131" s="184"/>
      <c r="E131" s="185">
        <f>WMNS47!E18</f>
        <v>4480.22</v>
      </c>
      <c r="F131" s="185">
        <f>WMNS47!F18</f>
        <v>1495.48</v>
      </c>
      <c r="G131" s="185">
        <f>WMNS47!G18</f>
        <v>0</v>
      </c>
      <c r="H131" s="185">
        <f>WMNS47!H18</f>
        <v>0</v>
      </c>
      <c r="I131" s="185">
        <f>WMNS47!I18</f>
        <v>0</v>
      </c>
      <c r="J131" s="185">
        <f>I131-H131</f>
        <v>0</v>
      </c>
      <c r="K131" s="358" t="e">
        <f>(I131-H131)/H131</f>
        <v>#DIV/0!</v>
      </c>
      <c r="L131" s="185">
        <f>WMNS47!L18</f>
        <v>0</v>
      </c>
      <c r="M131" s="185">
        <f>WMNS47!M18</f>
        <v>0</v>
      </c>
      <c r="N131" s="185">
        <f>WMNS47!N18</f>
        <v>0</v>
      </c>
      <c r="O131" s="185">
        <f>WMNS47!O18</f>
        <v>0</v>
      </c>
      <c r="P131" s="187"/>
      <c r="Q131" s="157"/>
      <c r="R131" s="157"/>
      <c r="S131" s="157"/>
    </row>
    <row r="132" spans="1:19" ht="26.25" thickBot="1" x14ac:dyDescent="0.25">
      <c r="A132" s="176" t="str">
        <f t="shared" ref="A132:B132" si="56">A131</f>
        <v>WMNS47</v>
      </c>
      <c r="B132" s="176" t="str">
        <f t="shared" si="56"/>
        <v>Women's Softball</v>
      </c>
      <c r="C132" s="177" t="s">
        <v>22</v>
      </c>
      <c r="D132" s="201"/>
      <c r="E132" s="180">
        <f>WMNS47!E41</f>
        <v>92637.98000000001</v>
      </c>
      <c r="F132" s="180">
        <f>WMNS47!F41</f>
        <v>60274.080000000002</v>
      </c>
      <c r="G132" s="180">
        <f>WMNS47!G41</f>
        <v>91601.760000000009</v>
      </c>
      <c r="H132" s="180">
        <f>WMNS47!H41</f>
        <v>68487.17</v>
      </c>
      <c r="I132" s="180">
        <f>WMNS47!I41</f>
        <v>73948</v>
      </c>
      <c r="J132" s="180">
        <f>I132-H132</f>
        <v>5460.8300000000017</v>
      </c>
      <c r="K132" s="359">
        <f>(I132-H132)/H132</f>
        <v>7.9735080307742345E-2</v>
      </c>
      <c r="L132" s="180">
        <f>WMNS47!L41</f>
        <v>4000</v>
      </c>
      <c r="M132" s="180">
        <f>WMNS47!M41</f>
        <v>0</v>
      </c>
      <c r="N132" s="180">
        <f>WMNS47!N41</f>
        <v>0</v>
      </c>
      <c r="O132" s="180">
        <f>WMNS47!O41</f>
        <v>2218</v>
      </c>
      <c r="P132" s="345" t="s">
        <v>1001</v>
      </c>
    </row>
    <row r="133" spans="1:19" ht="13.5" thickBot="1" x14ac:dyDescent="0.25">
      <c r="A133" s="303" t="str">
        <f t="shared" ref="A133:B133" si="57">A132</f>
        <v>WMNS47</v>
      </c>
      <c r="B133" s="303" t="str">
        <f t="shared" si="57"/>
        <v>Women's Softball</v>
      </c>
      <c r="C133" s="304" t="s">
        <v>702</v>
      </c>
      <c r="D133" s="304"/>
      <c r="E133" s="305">
        <f>E131+E132</f>
        <v>97118.200000000012</v>
      </c>
      <c r="F133" s="305">
        <f>F131+F132</f>
        <v>61769.560000000005</v>
      </c>
      <c r="G133" s="305">
        <f>G131+G132</f>
        <v>91601.760000000009</v>
      </c>
      <c r="H133" s="305">
        <f>H131+H132</f>
        <v>68487.17</v>
      </c>
      <c r="I133" s="305">
        <f>I131+I132</f>
        <v>73948</v>
      </c>
      <c r="J133" s="305">
        <f>I133-H133</f>
        <v>5460.8300000000017</v>
      </c>
      <c r="K133" s="360">
        <f>(I133-H133)/H133</f>
        <v>7.9735080307742345E-2</v>
      </c>
      <c r="L133" s="305">
        <f>L131+L132</f>
        <v>4000</v>
      </c>
      <c r="M133" s="305">
        <f>M131+M132</f>
        <v>0</v>
      </c>
      <c r="N133" s="305">
        <f>N131+N132</f>
        <v>0</v>
      </c>
      <c r="O133" s="305">
        <f>O131+O132</f>
        <v>2218</v>
      </c>
      <c r="P133" s="306"/>
      <c r="Q133" s="307">
        <f>H133-G133</f>
        <v>-23114.590000000011</v>
      </c>
    </row>
    <row r="135" spans="1:19" ht="13.5" customHeight="1" thickBot="1" x14ac:dyDescent="0.25">
      <c r="A135" s="299" t="str">
        <f>WMNS48!C1</f>
        <v>WMNS48</v>
      </c>
      <c r="B135" s="299" t="str">
        <f>WMNS48!C2</f>
        <v>Women's Swimming and Diving</v>
      </c>
      <c r="C135" s="300" t="s">
        <v>697</v>
      </c>
      <c r="D135" s="301"/>
      <c r="E135" s="302">
        <f>WMNS48!E8</f>
        <v>111958.1</v>
      </c>
      <c r="F135" s="302">
        <f>WMNS48!F8</f>
        <v>117013.1</v>
      </c>
      <c r="G135" s="302">
        <f>WMNS48!G8</f>
        <v>115219.78</v>
      </c>
      <c r="H135" s="302">
        <f>WMNS48!H8</f>
        <v>117013.30282707182</v>
      </c>
      <c r="I135" s="302">
        <f>WMNS48!I8</f>
        <v>117013.30282707182</v>
      </c>
      <c r="J135" s="302">
        <f>I135-H135</f>
        <v>0</v>
      </c>
      <c r="K135" s="357">
        <f>(I135-H135)/H135</f>
        <v>0</v>
      </c>
      <c r="L135" s="302">
        <f>WMNS48!L8</f>
        <v>0</v>
      </c>
      <c r="M135" s="302">
        <f>WMNS48!M8</f>
        <v>0</v>
      </c>
      <c r="N135" s="302">
        <f>WMNS48!N8</f>
        <v>0</v>
      </c>
      <c r="O135" s="302">
        <f>WMNS48!O8</f>
        <v>0</v>
      </c>
      <c r="P135" s="308"/>
      <c r="Q135" s="157"/>
      <c r="R135" s="157"/>
      <c r="S135" s="157"/>
    </row>
    <row r="136" spans="1:19" ht="13.5" thickBot="1" x14ac:dyDescent="0.25">
      <c r="A136" s="176" t="str">
        <f t="shared" ref="A136:B136" si="58">A135</f>
        <v>WMNS48</v>
      </c>
      <c r="B136" s="176" t="str">
        <f t="shared" si="58"/>
        <v>Women's Swimming and Diving</v>
      </c>
      <c r="C136" s="183" t="s">
        <v>704</v>
      </c>
      <c r="D136" s="184"/>
      <c r="E136" s="185">
        <f>WMNS48!E18</f>
        <v>30109.4</v>
      </c>
      <c r="F136" s="185">
        <f>WMNS48!F18</f>
        <v>30978.57</v>
      </c>
      <c r="G136" s="185">
        <f>WMNS48!G18</f>
        <v>27978.55</v>
      </c>
      <c r="H136" s="185">
        <f>WMNS48!H18</f>
        <v>29992</v>
      </c>
      <c r="I136" s="185">
        <f>WMNS48!I18</f>
        <v>30000</v>
      </c>
      <c r="J136" s="185">
        <f>I136-H136</f>
        <v>8</v>
      </c>
      <c r="K136" s="358">
        <f>(I136-H136)/H136</f>
        <v>2.6673779674579886E-4</v>
      </c>
      <c r="L136" s="185">
        <f>WMNS48!L18</f>
        <v>0</v>
      </c>
      <c r="M136" s="185">
        <f>WMNS48!M18</f>
        <v>0</v>
      </c>
      <c r="N136" s="185">
        <f>WMNS48!N18</f>
        <v>0</v>
      </c>
      <c r="O136" s="185">
        <f>WMNS48!O18</f>
        <v>0</v>
      </c>
      <c r="P136" s="187"/>
      <c r="Q136" s="157"/>
      <c r="R136" s="157"/>
      <c r="S136" s="157"/>
    </row>
    <row r="137" spans="1:19" ht="26.25" thickBot="1" x14ac:dyDescent="0.25">
      <c r="A137" s="176" t="str">
        <f t="shared" ref="A137:B137" si="59">A136</f>
        <v>WMNS48</v>
      </c>
      <c r="B137" s="176" t="str">
        <f t="shared" si="59"/>
        <v>Women's Swimming and Diving</v>
      </c>
      <c r="C137" s="177" t="s">
        <v>22</v>
      </c>
      <c r="D137" s="201"/>
      <c r="E137" s="180">
        <f>WMNS48!E41</f>
        <v>65035.97</v>
      </c>
      <c r="F137" s="180">
        <f>WMNS48!F41</f>
        <v>60480.619999999995</v>
      </c>
      <c r="G137" s="180">
        <f>WMNS48!G41</f>
        <v>61646.170000000006</v>
      </c>
      <c r="H137" s="180">
        <f>WMNS48!H41</f>
        <v>56135</v>
      </c>
      <c r="I137" s="180">
        <f>WMNS48!I41</f>
        <v>51086</v>
      </c>
      <c r="J137" s="180">
        <f>I137-H137</f>
        <v>-5049</v>
      </c>
      <c r="K137" s="359">
        <f>(I137-H137)/H137</f>
        <v>-8.9943885276565425E-2</v>
      </c>
      <c r="L137" s="180">
        <f>WMNS48!L41</f>
        <v>4000</v>
      </c>
      <c r="M137" s="180">
        <f>WMNS48!M41</f>
        <v>0</v>
      </c>
      <c r="N137" s="180">
        <f>WMNS48!N41</f>
        <v>0</v>
      </c>
      <c r="O137" s="180">
        <f>WMNS48!O41</f>
        <v>1533</v>
      </c>
      <c r="P137" s="345" t="s">
        <v>1001</v>
      </c>
    </row>
    <row r="138" spans="1:19" ht="13.5" thickBot="1" x14ac:dyDescent="0.25">
      <c r="A138" s="303" t="str">
        <f t="shared" ref="A138:B138" si="60">A137</f>
        <v>WMNS48</v>
      </c>
      <c r="B138" s="303" t="str">
        <f t="shared" si="60"/>
        <v>Women's Swimming and Diving</v>
      </c>
      <c r="C138" s="304" t="s">
        <v>702</v>
      </c>
      <c r="D138" s="304"/>
      <c r="E138" s="305">
        <f>E136+E137</f>
        <v>95145.37</v>
      </c>
      <c r="F138" s="305">
        <f>F136+F137</f>
        <v>91459.19</v>
      </c>
      <c r="G138" s="305">
        <f>G136+G137</f>
        <v>89624.72</v>
      </c>
      <c r="H138" s="305">
        <f>H136+H137</f>
        <v>86127</v>
      </c>
      <c r="I138" s="305">
        <f>I136+I137</f>
        <v>81086</v>
      </c>
      <c r="J138" s="305">
        <f>I138-H138</f>
        <v>-5041</v>
      </c>
      <c r="K138" s="360">
        <f>(I138-H138)/H138</f>
        <v>-5.8529845460773042E-2</v>
      </c>
      <c r="L138" s="305">
        <f>L136+L137</f>
        <v>4000</v>
      </c>
      <c r="M138" s="305">
        <f>M136+M137</f>
        <v>0</v>
      </c>
      <c r="N138" s="305">
        <f>N136+N137</f>
        <v>0</v>
      </c>
      <c r="O138" s="305">
        <f>O136+O137</f>
        <v>1533</v>
      </c>
      <c r="P138" s="306"/>
      <c r="Q138" s="307">
        <f>H138-G138</f>
        <v>-3497.7200000000012</v>
      </c>
    </row>
    <row r="140" spans="1:19" ht="13.5" customHeight="1" thickBot="1" x14ac:dyDescent="0.25">
      <c r="A140" s="299" t="str">
        <f>WMNS50!C1</f>
        <v>WMNS50</v>
      </c>
      <c r="B140" s="299" t="str">
        <f>WMNS50!C2</f>
        <v>Women's Track</v>
      </c>
      <c r="C140" s="300" t="s">
        <v>697</v>
      </c>
      <c r="D140" s="301"/>
      <c r="E140" s="302">
        <f>WMNS50!E8</f>
        <v>54064.24</v>
      </c>
      <c r="F140" s="302">
        <f>WMNS50!F8</f>
        <v>57612.81</v>
      </c>
      <c r="G140" s="302">
        <f>WMNS50!G8</f>
        <v>45526.69</v>
      </c>
      <c r="H140" s="302">
        <f>WMNS50!H8</f>
        <v>55536.28</v>
      </c>
      <c r="I140" s="302">
        <f>WMNS50!I8</f>
        <v>55536.28</v>
      </c>
      <c r="J140" s="302">
        <f>I140-H140</f>
        <v>0</v>
      </c>
      <c r="K140" s="357">
        <f>(I140-H140)/H140</f>
        <v>0</v>
      </c>
      <c r="L140" s="302">
        <f>WMNS50!L8</f>
        <v>0</v>
      </c>
      <c r="M140" s="302">
        <f>WMNS50!M8</f>
        <v>0</v>
      </c>
      <c r="N140" s="302">
        <f>WMNS50!N8</f>
        <v>0</v>
      </c>
      <c r="O140" s="302">
        <f>WMNS50!O8</f>
        <v>0</v>
      </c>
      <c r="P140" s="308"/>
      <c r="Q140" s="157"/>
      <c r="R140" s="157"/>
      <c r="S140" s="157"/>
    </row>
    <row r="141" spans="1:19" ht="13.5" thickBot="1" x14ac:dyDescent="0.25">
      <c r="A141" s="176" t="str">
        <f t="shared" ref="A141:B141" si="61">A140</f>
        <v>WMNS50</v>
      </c>
      <c r="B141" s="176" t="str">
        <f t="shared" si="61"/>
        <v>Women's Track</v>
      </c>
      <c r="C141" s="183" t="s">
        <v>704</v>
      </c>
      <c r="D141" s="184"/>
      <c r="E141" s="185">
        <f>WMNS50!E18</f>
        <v>7492.64</v>
      </c>
      <c r="F141" s="185">
        <f>WMNS50!F18</f>
        <v>392.40000000000003</v>
      </c>
      <c r="G141" s="185">
        <f>WMNS50!G18</f>
        <v>4982.3599999999997</v>
      </c>
      <c r="H141" s="185">
        <f>WMNS50!H18</f>
        <v>8354</v>
      </c>
      <c r="I141" s="185">
        <f>WMNS50!I18</f>
        <v>8000</v>
      </c>
      <c r="J141" s="185">
        <f>I141-H141</f>
        <v>-354</v>
      </c>
      <c r="K141" s="358">
        <f>(I141-H141)/H141</f>
        <v>-4.2374910222647832E-2</v>
      </c>
      <c r="L141" s="180">
        <f>WMNS50!L80</f>
        <v>0</v>
      </c>
      <c r="M141" s="185">
        <f>WMNS50!M18</f>
        <v>0</v>
      </c>
      <c r="N141" s="185">
        <f>WMNS50!N18</f>
        <v>0</v>
      </c>
      <c r="O141" s="185">
        <f>WMNS50!O18</f>
        <v>0</v>
      </c>
      <c r="P141" s="187"/>
      <c r="Q141" s="157"/>
      <c r="R141" s="157"/>
      <c r="S141" s="157"/>
    </row>
    <row r="142" spans="1:19" ht="26.25" thickBot="1" x14ac:dyDescent="0.25">
      <c r="A142" s="176" t="str">
        <f t="shared" ref="A142:B142" si="62">A141</f>
        <v>WMNS50</v>
      </c>
      <c r="B142" s="176" t="str">
        <f t="shared" si="62"/>
        <v>Women's Track</v>
      </c>
      <c r="C142" s="177" t="s">
        <v>22</v>
      </c>
      <c r="D142" s="201"/>
      <c r="E142" s="180">
        <f>WMNS50!E42</f>
        <v>38627.21</v>
      </c>
      <c r="F142" s="180">
        <f>WMNS50!F42</f>
        <v>34336.86</v>
      </c>
      <c r="G142" s="180">
        <f>WMNS50!G42</f>
        <v>38628.639999999999</v>
      </c>
      <c r="H142" s="180">
        <f>WMNS50!H42</f>
        <v>43738</v>
      </c>
      <c r="I142" s="180">
        <f>WMNS50!I42</f>
        <v>45284</v>
      </c>
      <c r="J142" s="180">
        <f>I142-H142</f>
        <v>1546</v>
      </c>
      <c r="K142" s="359">
        <f>(I142-H142)/H142</f>
        <v>3.5346837989848646E-2</v>
      </c>
      <c r="L142" s="180">
        <f>WMNS50!L42</f>
        <v>350</v>
      </c>
      <c r="M142" s="180">
        <f>WMNS50!M42</f>
        <v>0</v>
      </c>
      <c r="N142" s="180">
        <f>WMNS50!N42</f>
        <v>0</v>
      </c>
      <c r="O142" s="180">
        <f>WMNS50!O42</f>
        <v>1359</v>
      </c>
      <c r="P142" s="345" t="s">
        <v>1001</v>
      </c>
    </row>
    <row r="143" spans="1:19" ht="13.5" thickBot="1" x14ac:dyDescent="0.25">
      <c r="A143" s="303" t="str">
        <f t="shared" ref="A143:B143" si="63">A142</f>
        <v>WMNS50</v>
      </c>
      <c r="B143" s="303" t="str">
        <f t="shared" si="63"/>
        <v>Women's Track</v>
      </c>
      <c r="C143" s="304" t="s">
        <v>702</v>
      </c>
      <c r="D143" s="304"/>
      <c r="E143" s="305">
        <f>E141+E142</f>
        <v>46119.85</v>
      </c>
      <c r="F143" s="305">
        <f>F141+F142</f>
        <v>34729.26</v>
      </c>
      <c r="G143" s="305">
        <f>G141+G142</f>
        <v>43611</v>
      </c>
      <c r="H143" s="305">
        <f>H141+H142</f>
        <v>52092</v>
      </c>
      <c r="I143" s="305">
        <f>I141+I142</f>
        <v>53284</v>
      </c>
      <c r="J143" s="305">
        <f>I143-H143</f>
        <v>1192</v>
      </c>
      <c r="K143" s="360">
        <f>(I143-H143)/H143</f>
        <v>2.2882592336635185E-2</v>
      </c>
      <c r="L143" s="305">
        <f>L141+L142</f>
        <v>350</v>
      </c>
      <c r="M143" s="305">
        <f>M141+M142</f>
        <v>0</v>
      </c>
      <c r="N143" s="305">
        <f>N141+N142</f>
        <v>0</v>
      </c>
      <c r="O143" s="305">
        <f>O141+O142</f>
        <v>1359</v>
      </c>
      <c r="P143" s="306"/>
      <c r="Q143" s="307">
        <f>H143-G143</f>
        <v>8481</v>
      </c>
    </row>
    <row r="145" spans="1:19" ht="13.5" customHeight="1" thickBot="1" x14ac:dyDescent="0.25">
      <c r="A145" s="299" t="str">
        <f>WMNS51!C1</f>
        <v>WMNS51</v>
      </c>
      <c r="B145" s="299" t="str">
        <f>WMNS51!C2</f>
        <v>Women's Volleyball</v>
      </c>
      <c r="C145" s="300" t="s">
        <v>697</v>
      </c>
      <c r="D145" s="301"/>
      <c r="E145" s="302">
        <f>WMNS51!E8</f>
        <v>161655.66999999998</v>
      </c>
      <c r="F145" s="302">
        <f>WMNS51!F8</f>
        <v>162758.81</v>
      </c>
      <c r="G145" s="302">
        <f>WMNS51!G8</f>
        <v>160975.84</v>
      </c>
      <c r="H145" s="302">
        <f>WMNS51!H8</f>
        <v>183376</v>
      </c>
      <c r="I145" s="302">
        <f>WMNS51!I8</f>
        <v>183376</v>
      </c>
      <c r="J145" s="302">
        <f>I145-H145</f>
        <v>0</v>
      </c>
      <c r="K145" s="357">
        <f>(I145-H145)/H145</f>
        <v>0</v>
      </c>
      <c r="L145" s="302">
        <f>WMNS51!L8</f>
        <v>0</v>
      </c>
      <c r="M145" s="302">
        <f>WMNS51!M8</f>
        <v>0</v>
      </c>
      <c r="N145" s="302">
        <f>WMNS51!N8</f>
        <v>0</v>
      </c>
      <c r="O145" s="302">
        <f>WMNS51!O8</f>
        <v>0</v>
      </c>
      <c r="P145" s="308"/>
      <c r="Q145" s="157"/>
      <c r="R145" s="157"/>
      <c r="S145" s="157"/>
    </row>
    <row r="146" spans="1:19" ht="13.5" thickBot="1" x14ac:dyDescent="0.25">
      <c r="A146" s="176" t="str">
        <f t="shared" ref="A146:B146" si="64">A145</f>
        <v>WMNS51</v>
      </c>
      <c r="B146" s="176" t="str">
        <f t="shared" si="64"/>
        <v>Women's Volleyball</v>
      </c>
      <c r="C146" s="183" t="s">
        <v>704</v>
      </c>
      <c r="D146" s="184"/>
      <c r="E146" s="185">
        <f>WMNS51!E18</f>
        <v>12204</v>
      </c>
      <c r="F146" s="185">
        <f>WMNS51!F18</f>
        <v>14200.8</v>
      </c>
      <c r="G146" s="185">
        <f>WMNS51!G18</f>
        <v>8122</v>
      </c>
      <c r="H146" s="185">
        <f>WMNS51!H18</f>
        <v>0</v>
      </c>
      <c r="I146" s="185">
        <f>WMNS51!I18</f>
        <v>0</v>
      </c>
      <c r="J146" s="185">
        <f>I146-H146</f>
        <v>0</v>
      </c>
      <c r="K146" s="358" t="e">
        <f>(I146-H146)/H146</f>
        <v>#DIV/0!</v>
      </c>
      <c r="L146" s="185">
        <f>WMNS51!L18</f>
        <v>0</v>
      </c>
      <c r="M146" s="185">
        <f>WMNS51!M18</f>
        <v>0</v>
      </c>
      <c r="N146" s="185">
        <f>WMNS51!N18</f>
        <v>0</v>
      </c>
      <c r="O146" s="185">
        <f>WMNS51!O18</f>
        <v>0</v>
      </c>
      <c r="P146" s="187"/>
      <c r="Q146" s="157"/>
      <c r="R146" s="157"/>
      <c r="S146" s="157"/>
    </row>
    <row r="147" spans="1:19" ht="26.25" thickBot="1" x14ac:dyDescent="0.25">
      <c r="A147" s="176" t="str">
        <f t="shared" ref="A147:B147" si="65">A146</f>
        <v>WMNS51</v>
      </c>
      <c r="B147" s="176" t="str">
        <f t="shared" si="65"/>
        <v>Women's Volleyball</v>
      </c>
      <c r="C147" s="177" t="s">
        <v>22</v>
      </c>
      <c r="D147" s="201"/>
      <c r="E147" s="180">
        <f>WMNS51!E41</f>
        <v>62460.160000000003</v>
      </c>
      <c r="F147" s="180">
        <f>WMNS51!F41</f>
        <v>49642.249999999993</v>
      </c>
      <c r="G147" s="180">
        <f>WMNS51!G41</f>
        <v>60720.29</v>
      </c>
      <c r="H147" s="180">
        <f>WMNS51!H41</f>
        <v>49205</v>
      </c>
      <c r="I147" s="180">
        <f>WMNS51!I41</f>
        <v>62067</v>
      </c>
      <c r="J147" s="180">
        <f>I147-H147</f>
        <v>12862</v>
      </c>
      <c r="K147" s="359">
        <f>(I147-H147)/H147</f>
        <v>0.26139619957321408</v>
      </c>
      <c r="L147" s="180">
        <f>WMNS51!L41</f>
        <v>8000</v>
      </c>
      <c r="M147" s="180">
        <f>WMNS51!M41</f>
        <v>0</v>
      </c>
      <c r="N147" s="180">
        <f>WMNS51!N41</f>
        <v>0</v>
      </c>
      <c r="O147" s="180">
        <f>WMNS51!O41</f>
        <v>1862</v>
      </c>
      <c r="P147" s="345" t="s">
        <v>1001</v>
      </c>
    </row>
    <row r="148" spans="1:19" ht="13.5" thickBot="1" x14ac:dyDescent="0.25">
      <c r="A148" s="303" t="str">
        <f t="shared" ref="A148:B148" si="66">A147</f>
        <v>WMNS51</v>
      </c>
      <c r="B148" s="303" t="str">
        <f t="shared" si="66"/>
        <v>Women's Volleyball</v>
      </c>
      <c r="C148" s="304" t="s">
        <v>702</v>
      </c>
      <c r="D148" s="304"/>
      <c r="E148" s="305">
        <f>E146+E147</f>
        <v>74664.160000000003</v>
      </c>
      <c r="F148" s="305">
        <f>F146+F147</f>
        <v>63843.049999999988</v>
      </c>
      <c r="G148" s="305">
        <f>G146+G147</f>
        <v>68842.290000000008</v>
      </c>
      <c r="H148" s="305">
        <f>H146+H147</f>
        <v>49205</v>
      </c>
      <c r="I148" s="305">
        <f>I146+I147</f>
        <v>62067</v>
      </c>
      <c r="J148" s="305">
        <f>I148-H148</f>
        <v>12862</v>
      </c>
      <c r="K148" s="360">
        <f>(I148-H148)/H148</f>
        <v>0.26139619957321408</v>
      </c>
      <c r="L148" s="305">
        <f>L146+L147</f>
        <v>8000</v>
      </c>
      <c r="M148" s="305">
        <f>M146+M147</f>
        <v>0</v>
      </c>
      <c r="N148" s="305">
        <f>N146+N147</f>
        <v>0</v>
      </c>
      <c r="O148" s="305">
        <f>O146+O147</f>
        <v>1862</v>
      </c>
      <c r="P148" s="306"/>
      <c r="Q148" s="307">
        <f>H148-G148</f>
        <v>-19637.290000000008</v>
      </c>
    </row>
    <row r="149" spans="1:19" s="322" customFormat="1" x14ac:dyDescent="0.2">
      <c r="A149" s="327"/>
      <c r="B149" s="327"/>
      <c r="C149" s="328"/>
      <c r="D149" s="328"/>
      <c r="E149" s="329"/>
      <c r="F149" s="329"/>
      <c r="G149" s="329"/>
      <c r="H149" s="329"/>
      <c r="I149" s="329"/>
      <c r="J149" s="329"/>
      <c r="K149" s="362"/>
      <c r="L149" s="329"/>
      <c r="M149" s="329"/>
      <c r="N149" s="329"/>
      <c r="O149" s="329"/>
      <c r="P149" s="330"/>
      <c r="Q149" s="331"/>
    </row>
    <row r="150" spans="1:19" ht="13.5" thickBot="1" x14ac:dyDescent="0.25">
      <c r="A150" s="309" t="s">
        <v>962</v>
      </c>
      <c r="B150" s="309" t="s">
        <v>963</v>
      </c>
      <c r="C150" s="310" t="s">
        <v>964</v>
      </c>
      <c r="D150" s="310"/>
      <c r="E150" s="311">
        <v>2684813.92</v>
      </c>
      <c r="F150" s="311">
        <v>2734495.84</v>
      </c>
      <c r="G150" s="311">
        <v>2734561.2</v>
      </c>
      <c r="H150" s="311">
        <v>3008017.32</v>
      </c>
      <c r="I150" s="311">
        <f>H150*1.05</f>
        <v>3158418.1859999998</v>
      </c>
      <c r="J150" s="311">
        <f>I150-H150</f>
        <v>150400.86599999992</v>
      </c>
      <c r="K150" s="355">
        <f>(I150-H150)/H150</f>
        <v>4.9999999999999975E-2</v>
      </c>
      <c r="L150" s="311"/>
      <c r="M150" s="311"/>
      <c r="N150" s="311"/>
      <c r="O150" s="311"/>
      <c r="P150" s="312" t="s">
        <v>1110</v>
      </c>
      <c r="Q150" s="307"/>
    </row>
    <row r="151" spans="1:19" s="322" customFormat="1" x14ac:dyDescent="0.2">
      <c r="A151" s="327"/>
      <c r="B151" s="327"/>
      <c r="C151" s="328"/>
      <c r="D151" s="328"/>
      <c r="E151" s="329"/>
      <c r="F151" s="329"/>
      <c r="G151" s="329"/>
      <c r="H151" s="329"/>
      <c r="I151" s="329"/>
      <c r="J151" s="329"/>
      <c r="K151" s="362"/>
      <c r="L151" s="329"/>
      <c r="M151" s="329"/>
      <c r="N151" s="329"/>
      <c r="O151" s="329"/>
      <c r="P151" s="330"/>
      <c r="Q151" s="331"/>
    </row>
    <row r="152" spans="1:19" ht="12.75" customHeight="1" x14ac:dyDescent="0.2"/>
    <row r="153" spans="1:19" ht="33" customHeight="1" thickBot="1" x14ac:dyDescent="0.3">
      <c r="C153" s="332" t="s">
        <v>878</v>
      </c>
      <c r="D153" s="332"/>
      <c r="E153" s="333">
        <f t="shared" ref="E153:G153" si="67">SUM(E5+E7+E9+E11-E13-E16-E18-E21-E23-E27-E29-E32-E34-E37-E39-E42-E44-E48-E50-E53-E55-E58-E60-E63-E65-E68-E70-E73-E75-E78-E80-E83-E85-E88-E90-E93-E95-E98-E100-E103-E105-E108-E110-E113-E115-E118-E120-E123-E125-E128-E130-E133-E135-E138-E140-E143-E145-E148-E150)</f>
        <v>-4.6566128730773926E-9</v>
      </c>
      <c r="F153" s="333">
        <f t="shared" si="67"/>
        <v>241171.15000000177</v>
      </c>
      <c r="G153" s="333">
        <f t="shared" si="67"/>
        <v>4.1909515857696533E-9</v>
      </c>
      <c r="H153" s="333">
        <f>SUM(-H5-H7-H9-H11+H13+H16+H18+H21+H23+H27+H29+H32+H34+H37+H39+H42+H44+H48+H50+H53+H55+H58+H60+H63+H65+H68+H70+H73+H75+H78+H80+H83+H85+H88+H90+H93+H95+H98+H100+H103+H105+H108+H110+H113+H115+H118+H120+H123+H125+H128+H130+H133+H135+H138+H140+H143+H145+H148+H150)</f>
        <v>118039.93651432265</v>
      </c>
      <c r="I153" s="389">
        <f>SUM(-I5-I7-I9-I11+I13+I16+I18+I21+I23+I27+I29+I32+I34+I37+I39+I42+I44+I48+I50+I53+I55+I58+I60+I63+I65+I68+I70+I73+I75+I78+I80+I83+I85+I88+I90+I93+I95+I98+I100+I103+I105+I108+I110+I113+I115+I118+I120+I123+I125+I128+I130+I133+I135+I138+I140+I143+I145+I148+I150)</f>
        <v>255647.7550143199</v>
      </c>
      <c r="J153" s="333">
        <f>SUM(-J5-J7-J9-J11+J13+J16+J18+J21+J23+J27+J29+J32+J34+J37+J39+J42+J44+J48+J50+J53+J55+J58+J60+J63+J65+J68+J70+J73+J75+J78+J80+J83+J85+J88+J90+J93+J95+J98+J100+J103+J105+J108+J110+J113+J115+J118+J120+J123+J125+J128+J130+J133+J135+J138+J140+J143+J145+J148+J150)</f>
        <v>137607.81849999842</v>
      </c>
      <c r="K153" s="363"/>
      <c r="L153" s="389">
        <f>SUM(-L5-L7-L9-L11+L13+L16+L18+L21+L23+L27+L29+L32+L34+L37+L39+L42+L44+L48+L50+L53+L55+L58+L60+L63+L65+L68+L70+L73+L75+L78+L80+L83+L85+L88+L90+L93+L95+L98+L100+L103+L105+L108+L110+L113+L115+L118+L120+L123+L125+L128+L130+L133+L135+L138+L140+L143+L145+L148+L150)</f>
        <v>118300</v>
      </c>
      <c r="M153" s="389">
        <f t="shared" ref="M153:O153" si="68">SUM(-M5-M7-M9-M11+M13+M16+M18+M21+M23+M27+M29+M32+M34+M37+M39+M42+M44+M48+M50+M53+M55+M58+M60+M63+M65+M68+M70+M73+M75+M78+M80+M83+M85+M88+M90+M93+M95+M98+M100+M103+M105+M108+M110+M113+M115+M118+M120+M123+M125+M128+M130+M133+M135+M138+M140+M143+M145+M148+M150)</f>
        <v>66339</v>
      </c>
      <c r="N153" s="333">
        <f t="shared" si="68"/>
        <v>0</v>
      </c>
      <c r="O153" s="389">
        <f t="shared" si="68"/>
        <v>103223</v>
      </c>
      <c r="P153" s="390" t="s">
        <v>1133</v>
      </c>
    </row>
    <row r="154" spans="1:19" ht="26.25" customHeight="1" thickTop="1" thickBot="1" x14ac:dyDescent="0.3">
      <c r="C154" s="384"/>
      <c r="D154" s="384"/>
      <c r="E154" s="385"/>
      <c r="F154" s="385"/>
      <c r="G154" s="385"/>
      <c r="H154" s="333">
        <f>SUM(H5+H7+H9+H11-H13-H16-H18-H21-H23-H27-H29-H32-H34-H37-H39-H42-H44-H48-H50-H53-H55-H58-H60-H63-H65-H68-H70-H73-H75-H78-H80-H83-H85-H88-H90-H93-H95-H98-H100-H103-H105-H108-H110-H113-H115-H118-H120-H123-H125-H128-H130-H133-H135-H138-H140-H143-H145-H148-H150)</f>
        <v>-118039.93651432265</v>
      </c>
      <c r="I154" s="385"/>
      <c r="J154" s="385"/>
      <c r="K154" s="386"/>
      <c r="L154" s="385"/>
      <c r="M154" s="385"/>
      <c r="N154" s="385"/>
      <c r="O154" s="385"/>
      <c r="P154" s="388" t="s">
        <v>1134</v>
      </c>
    </row>
    <row r="155" spans="1:19" ht="20.25" customHeight="1" thickTop="1" x14ac:dyDescent="0.2">
      <c r="H155" s="387">
        <f>SUM(H153:H154)</f>
        <v>0</v>
      </c>
      <c r="I155" s="387">
        <f>SUM(I5+I7+I9+I11-I13-I16-I18-I21-I23-I27-I29-I32-I34-I37-I39-I42-I44-I48-I50-I53-I55-I58-I60-I63-I65-I68-I70-I73-I75-I78-I80-I83-I85-I88-I90-I93-I95-I98-I100-I103-I105-I108-I110-I113-I115-I118-I120-I123-I125-I128-I130-I133-I135-I138-I140-I143-I145-I148-I150)</f>
        <v>-255647.7550143199</v>
      </c>
      <c r="J155" s="307">
        <f>SUM(J5+J7+J9+J11-J13-J16-J18-J21-J23-J27-J29-J32-J34-J37-J39-J42-J44-J48-J50-J53-J55-J58-J60-J63-J65-J68-J70-J73-J75-J78-J80-J83-J85-J88-J90-J93-J95-J98-J100-J103-J105-J108-J110-J113-J115-J118-J120-J123-J125-J128-J130-J133-J135-J138-J140-J143-J145-J148-J150)</f>
        <v>-137607.81849999842</v>
      </c>
      <c r="L155" s="307">
        <f>SUM(L5+L7+L9+L11-L13-L16-L18-L21-L23-L27-L29-L32-L34-L37-L39-L42-L44-L48-L50-L53-L55-L58-L60-L63-L65-L68-L70-L73-L75-L78-L80-L83-L85-L88-L90-L93-L95-L98-L100-L103-L105-L108-L110-L113-L115-L118-L120-L123-L125-L128-L130-L133-L135-L138-L140-L143-L145-L148-L150)</f>
        <v>-118300</v>
      </c>
      <c r="M155" s="307">
        <f t="shared" ref="M155:O155" si="69">SUM(M5+M7+M9+M11-M13-M16-M18-M21-M23-M27-M29-M32-M34-M37-M39-M42-M44-M48-M50-M53-M55-M58-M60-M63-M65-M68-M70-M73-M75-M78-M80-M83-M85-M88-M90-M93-M95-M98-M100-M103-M105-M108-M110-M113-M115-M118-M120-M123-M125-M128-M130-M133-M135-M138-M140-M143-M145-M148-M150)</f>
        <v>-66339</v>
      </c>
      <c r="N155" s="307">
        <f t="shared" si="69"/>
        <v>0</v>
      </c>
      <c r="O155" s="307">
        <f t="shared" si="69"/>
        <v>-103223</v>
      </c>
      <c r="P155" s="383"/>
    </row>
    <row r="156" spans="1:19" ht="12.75" customHeight="1" x14ac:dyDescent="0.2">
      <c r="G156" s="307"/>
      <c r="H156" s="373"/>
      <c r="I156" s="373"/>
    </row>
    <row r="157" spans="1:19" ht="12.75" customHeight="1" x14ac:dyDescent="0.2">
      <c r="H157" s="373"/>
      <c r="I157" s="373"/>
    </row>
    <row r="158" spans="1:19" ht="12.75" customHeight="1" x14ac:dyDescent="0.2">
      <c r="G158" s="307"/>
      <c r="H158" s="373"/>
      <c r="I158" s="373"/>
    </row>
    <row r="159" spans="1:19" ht="12.75" customHeight="1" x14ac:dyDescent="0.2">
      <c r="G159" s="307"/>
      <c r="H159" s="164"/>
      <c r="I159" s="164"/>
    </row>
    <row r="160" spans="1:19" ht="12.75" customHeight="1" x14ac:dyDescent="0.2">
      <c r="G160" s="373"/>
      <c r="H160" s="373"/>
      <c r="I160" s="382"/>
    </row>
    <row r="161" spans="7:9" ht="12.75" customHeight="1" x14ac:dyDescent="0.2">
      <c r="G161" s="373"/>
      <c r="H161" s="164"/>
      <c r="I161" s="382"/>
    </row>
    <row r="162" spans="7:9" ht="12.75" customHeight="1" x14ac:dyDescent="0.2">
      <c r="G162" s="374"/>
    </row>
    <row r="163" spans="7:9" ht="12.75" customHeight="1" x14ac:dyDescent="0.2">
      <c r="G163" s="307"/>
    </row>
    <row r="164" spans="7:9" ht="12.75" customHeight="1" x14ac:dyDescent="0.2">
      <c r="G164" s="366"/>
    </row>
    <row r="165" spans="7:9" ht="12.75" customHeight="1" x14ac:dyDescent="0.2">
      <c r="G165" s="307"/>
    </row>
    <row r="166" spans="7:9" ht="12.75" customHeight="1" x14ac:dyDescent="0.2"/>
    <row r="167" spans="7:9" ht="12.75" customHeight="1" x14ac:dyDescent="0.2"/>
    <row r="168" spans="7:9" ht="12.75" customHeight="1" x14ac:dyDescent="0.2">
      <c r="G168" s="307"/>
    </row>
    <row r="169" spans="7:9" ht="12.75" customHeight="1" x14ac:dyDescent="0.2"/>
    <row r="170" spans="7:9" ht="12.75" customHeight="1" x14ac:dyDescent="0.2"/>
    <row r="171" spans="7:9" ht="12.75" customHeight="1" x14ac:dyDescent="0.2"/>
    <row r="172" spans="7:9" ht="12.75" customHeight="1" x14ac:dyDescent="0.2"/>
    <row r="173" spans="7:9" ht="12.75" customHeight="1" x14ac:dyDescent="0.2"/>
    <row r="174" spans="7:9" ht="12.75" customHeight="1" x14ac:dyDescent="0.2"/>
    <row r="175" spans="7:9" ht="12.75" customHeight="1" x14ac:dyDescent="0.2"/>
    <row r="176" spans="7:9" ht="12.75" customHeight="1" x14ac:dyDescent="0.2"/>
    <row r="177" ht="12.75" customHeight="1" x14ac:dyDescent="0.2"/>
    <row r="178" ht="12.75" customHeight="1" x14ac:dyDescent="0.2"/>
    <row r="179" ht="12.75" customHeight="1" x14ac:dyDescent="0.2"/>
  </sheetData>
  <mergeCells count="1">
    <mergeCell ref="L3:N3"/>
  </mergeCells>
  <pageMargins left="0.5" right="0.25" top="0.17708333300000001" bottom="0.50541666669999996" header="0.3" footer="0.3"/>
  <pageSetup paperSize="17" scale="75" orientation="landscape" r:id="rId1"/>
  <headerFooter>
    <oddHeader>&amp;C&amp;"Calibri,Bold"&amp;A</oddHeader>
    <oddFooter>&amp;L&amp;Z&amp;F&amp;Rprinted: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76"/>
  <sheetViews>
    <sheetView showGridLines="0" topLeftCell="A58" zoomScaleNormal="100" workbookViewId="0">
      <selection activeCell="H6" sqref="H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824</v>
      </c>
      <c r="O1" s="164"/>
    </row>
    <row r="2" spans="1:19" ht="23.25" customHeight="1" thickBot="1" x14ac:dyDescent="0.3">
      <c r="A2" s="290" t="s">
        <v>810</v>
      </c>
      <c r="B2" s="232"/>
      <c r="C2" s="292" t="s">
        <v>820</v>
      </c>
      <c r="O2" s="164"/>
    </row>
    <row r="3" spans="1:19" ht="32.25" customHeight="1" thickBot="1" x14ac:dyDescent="0.25">
      <c r="A3" s="165" t="s">
        <v>778</v>
      </c>
      <c r="C3" s="233"/>
      <c r="D3" s="157"/>
      <c r="E3" s="157"/>
      <c r="L3" s="403" t="s">
        <v>776</v>
      </c>
      <c r="M3" s="404"/>
      <c r="N3" s="405"/>
    </row>
    <row r="4" spans="1:19" s="157" customFormat="1" ht="51.75" thickBot="1" x14ac:dyDescent="0.25">
      <c r="A4" s="287" t="s">
        <v>811</v>
      </c>
      <c r="B4" s="287" t="s">
        <v>812</v>
      </c>
      <c r="C4" s="166" t="s">
        <v>633</v>
      </c>
      <c r="D4" s="167"/>
      <c r="E4" s="234" t="s">
        <v>749</v>
      </c>
      <c r="F4" s="234" t="s">
        <v>750</v>
      </c>
      <c r="G4" s="234" t="s">
        <v>751</v>
      </c>
      <c r="H4" s="288" t="s">
        <v>747</v>
      </c>
      <c r="I4" s="234" t="s">
        <v>748</v>
      </c>
      <c r="J4" s="234" t="s">
        <v>745</v>
      </c>
      <c r="K4" s="289" t="s">
        <v>641</v>
      </c>
      <c r="L4" s="231" t="s">
        <v>642</v>
      </c>
      <c r="M4" s="231" t="s">
        <v>643</v>
      </c>
      <c r="N4" s="230" t="s">
        <v>644</v>
      </c>
      <c r="O4" s="288"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130025.4+6615.46+106786.37+179287.22+501.4</f>
        <v>423215.85</v>
      </c>
      <c r="F6" s="171">
        <f>129130.64+28192.38+99957.01+183298.65+813.07</f>
        <v>441391.74999999994</v>
      </c>
      <c r="G6" s="171">
        <f>164366.83+923.09+50275.26+131364.82</f>
        <v>346930</v>
      </c>
      <c r="H6" s="171">
        <f>SUM('FT Salaries'!E12)</f>
        <v>459904.32100000011</v>
      </c>
      <c r="I6" s="171">
        <f>SUM(H6)</f>
        <v>459904.32100000011</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423215.85</v>
      </c>
      <c r="F8" s="179">
        <f>SUM(F6:F7)</f>
        <v>441391.74999999994</v>
      </c>
      <c r="G8" s="179">
        <f>SUM(G6:G7)</f>
        <v>346930</v>
      </c>
      <c r="H8" s="179">
        <f>SUM(H6:H7)</f>
        <v>459904.32100000011</v>
      </c>
      <c r="I8" s="179">
        <f>SUM(I6:I7)</f>
        <v>459904.32100000011</v>
      </c>
      <c r="J8" s="180">
        <f>I8-H8</f>
        <v>0</v>
      </c>
      <c r="K8" s="181">
        <f>(I8-H8)/H8</f>
        <v>0</v>
      </c>
      <c r="L8" s="180">
        <f>SUM(L6:L7)</f>
        <v>0</v>
      </c>
      <c r="M8" s="180">
        <f t="shared" ref="M8:O8" si="0">SUM(M6:M7)</f>
        <v>0</v>
      </c>
      <c r="N8" s="180">
        <f t="shared" si="0"/>
        <v>0</v>
      </c>
      <c r="O8" s="180">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599</v>
      </c>
      <c r="B12" s="318">
        <v>601300</v>
      </c>
      <c r="C12" s="146" t="s">
        <v>598</v>
      </c>
      <c r="D12" s="170"/>
      <c r="E12" s="171">
        <v>32000</v>
      </c>
      <c r="F12" s="171"/>
      <c r="G12" s="171"/>
      <c r="H12" s="171"/>
      <c r="I12" s="172"/>
      <c r="J12" s="173">
        <f t="shared" si="1"/>
        <v>0</v>
      </c>
      <c r="K12" s="174" t="e">
        <f t="shared" ref="K12:K18" si="2">(I12-H12)/H12</f>
        <v>#DIV/0!</v>
      </c>
      <c r="L12" s="172"/>
      <c r="M12" s="175"/>
      <c r="N12" s="175"/>
      <c r="O12" s="175"/>
      <c r="P12" s="147"/>
      <c r="Q12" s="157"/>
      <c r="R12" s="157"/>
      <c r="S12" s="157"/>
    </row>
    <row r="13" spans="1:19" x14ac:dyDescent="0.2">
      <c r="A13" s="169" t="s">
        <v>585</v>
      </c>
      <c r="B13" s="318">
        <v>601306</v>
      </c>
      <c r="C13" s="146" t="s">
        <v>10</v>
      </c>
      <c r="D13" s="170"/>
      <c r="E13" s="171">
        <v>15572</v>
      </c>
      <c r="F13" s="171"/>
      <c r="G13" s="171"/>
      <c r="H13" s="171"/>
      <c r="I13" s="172"/>
      <c r="J13" s="173">
        <f t="shared" ref="J13:J14" si="3">I13-H13</f>
        <v>0</v>
      </c>
      <c r="K13" s="174" t="e">
        <f t="shared" ref="K13:K14" si="4">(I13-H13)/H13</f>
        <v>#DIV/0!</v>
      </c>
      <c r="L13" s="172"/>
      <c r="M13" s="175"/>
      <c r="N13" s="175"/>
      <c r="O13" s="175"/>
      <c r="P13" s="147"/>
      <c r="Q13" s="157"/>
      <c r="R13" s="157"/>
      <c r="S13" s="157"/>
    </row>
    <row r="14" spans="1:19" x14ac:dyDescent="0.2">
      <c r="A14" s="169" t="s">
        <v>580</v>
      </c>
      <c r="B14" s="318">
        <v>601305</v>
      </c>
      <c r="C14" s="146" t="s">
        <v>579</v>
      </c>
      <c r="D14" s="170"/>
      <c r="E14" s="171">
        <v>0</v>
      </c>
      <c r="F14" s="171">
        <v>217.39000000000001</v>
      </c>
      <c r="G14" s="171"/>
      <c r="H14" s="171"/>
      <c r="I14" s="172"/>
      <c r="J14" s="173">
        <f t="shared" si="3"/>
        <v>0</v>
      </c>
      <c r="K14" s="174" t="e">
        <f t="shared" si="4"/>
        <v>#DIV/0!</v>
      </c>
      <c r="L14" s="172"/>
      <c r="M14" s="175"/>
      <c r="N14" s="175"/>
      <c r="O14" s="175"/>
      <c r="P14" s="147"/>
      <c r="Q14" s="157"/>
      <c r="R14" s="157"/>
      <c r="S14" s="157"/>
    </row>
    <row r="15" spans="1:19" x14ac:dyDescent="0.2">
      <c r="A15" s="169" t="s">
        <v>578</v>
      </c>
      <c r="B15" s="318">
        <v>601400</v>
      </c>
      <c r="C15" s="146" t="s">
        <v>577</v>
      </c>
      <c r="D15" s="170"/>
      <c r="E15" s="171">
        <v>5109.42</v>
      </c>
      <c r="F15" s="171">
        <v>3267.9</v>
      </c>
      <c r="G15" s="171">
        <v>1482.08</v>
      </c>
      <c r="H15" s="171">
        <v>9</v>
      </c>
      <c r="I15" s="172"/>
      <c r="J15" s="173">
        <f t="shared" si="1"/>
        <v>-9</v>
      </c>
      <c r="K15" s="174">
        <f t="shared" si="2"/>
        <v>-1</v>
      </c>
      <c r="L15" s="172"/>
      <c r="M15" s="175"/>
      <c r="N15" s="175"/>
      <c r="O15" s="175"/>
      <c r="P15" s="147"/>
      <c r="Q15" s="157"/>
      <c r="R15" s="157"/>
      <c r="S15" s="157"/>
    </row>
    <row r="16" spans="1:19" x14ac:dyDescent="0.2">
      <c r="A16" s="169" t="s">
        <v>566</v>
      </c>
      <c r="B16" s="318">
        <v>601501</v>
      </c>
      <c r="C16" s="146" t="s">
        <v>565</v>
      </c>
      <c r="D16" s="170"/>
      <c r="E16" s="171"/>
      <c r="F16" s="171">
        <v>264.22000000000003</v>
      </c>
      <c r="G16" s="171">
        <v>638.04</v>
      </c>
      <c r="H16" s="171">
        <v>500</v>
      </c>
      <c r="I16" s="172">
        <v>500</v>
      </c>
      <c r="J16" s="173">
        <f t="shared" si="1"/>
        <v>0</v>
      </c>
      <c r="K16" s="174">
        <f t="shared" si="2"/>
        <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52681.42</v>
      </c>
      <c r="F18" s="185">
        <f t="shared" ref="F18:I18" si="5">SUM(F12:F17)</f>
        <v>3749.51</v>
      </c>
      <c r="G18" s="185">
        <f t="shared" si="5"/>
        <v>2120.12</v>
      </c>
      <c r="H18" s="185">
        <f t="shared" si="5"/>
        <v>509</v>
      </c>
      <c r="I18" s="185">
        <f t="shared" si="5"/>
        <v>500</v>
      </c>
      <c r="J18" s="185">
        <f t="shared" si="1"/>
        <v>-9</v>
      </c>
      <c r="K18" s="186">
        <f t="shared" si="2"/>
        <v>-1.768172888015717E-2</v>
      </c>
      <c r="L18" s="185">
        <f>SUM(L12:L17)</f>
        <v>0</v>
      </c>
      <c r="M18" s="185">
        <f t="shared" ref="M18:O18" si="6">SUM(M12:M17)</f>
        <v>0</v>
      </c>
      <c r="N18" s="185">
        <f t="shared" si="6"/>
        <v>0</v>
      </c>
      <c r="O18" s="185">
        <f t="shared" si="6"/>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87" t="s">
        <v>811</v>
      </c>
      <c r="B20" s="316" t="s">
        <v>812</v>
      </c>
      <c r="C20" s="229" t="s">
        <v>633</v>
      </c>
      <c r="D20" s="249"/>
      <c r="E20" s="289" t="s">
        <v>749</v>
      </c>
      <c r="F20" s="234" t="s">
        <v>750</v>
      </c>
      <c r="G20" s="234" t="s">
        <v>751</v>
      </c>
      <c r="H20" s="288" t="s">
        <v>747</v>
      </c>
      <c r="I20" s="234" t="s">
        <v>748</v>
      </c>
      <c r="J20" s="234" t="s">
        <v>745</v>
      </c>
      <c r="K20" s="289" t="s">
        <v>641</v>
      </c>
      <c r="L20" s="231" t="s">
        <v>642</v>
      </c>
      <c r="M20" s="231" t="s">
        <v>643</v>
      </c>
      <c r="N20" s="230" t="s">
        <v>644</v>
      </c>
      <c r="O20" s="288" t="s">
        <v>746</v>
      </c>
      <c r="P20" s="168" t="s">
        <v>969</v>
      </c>
    </row>
    <row r="21" spans="1:19" ht="31.5" customHeight="1" x14ac:dyDescent="0.2">
      <c r="A21" s="193" t="s">
        <v>432</v>
      </c>
      <c r="B21" s="318">
        <v>702106</v>
      </c>
      <c r="C21" s="194" t="s">
        <v>431</v>
      </c>
      <c r="D21" s="195"/>
      <c r="E21" s="196">
        <v>14758.83</v>
      </c>
      <c r="F21" s="196">
        <v>6558.45</v>
      </c>
      <c r="G21" s="196">
        <v>10491.550000000001</v>
      </c>
      <c r="H21" s="196">
        <v>2800</v>
      </c>
      <c r="I21" s="196">
        <v>2800</v>
      </c>
      <c r="J21" s="197">
        <f t="shared" ref="J21:J38" si="7">I21-H21</f>
        <v>0</v>
      </c>
      <c r="K21" s="198">
        <f t="shared" ref="K21:K38" si="8">(I21-H21)/H21</f>
        <v>0</v>
      </c>
      <c r="L21" s="196"/>
      <c r="M21" s="196"/>
      <c r="N21" s="196"/>
      <c r="O21" s="196"/>
      <c r="P21" s="199"/>
    </row>
    <row r="22" spans="1:19" ht="31.5" customHeight="1" x14ac:dyDescent="0.2">
      <c r="A22" s="193" t="s">
        <v>416</v>
      </c>
      <c r="B22" s="318">
        <v>702200</v>
      </c>
      <c r="C22" s="194" t="s">
        <v>11</v>
      </c>
      <c r="D22" s="195"/>
      <c r="E22" s="196">
        <v>3941.05</v>
      </c>
      <c r="F22" s="196">
        <v>1163.51</v>
      </c>
      <c r="G22" s="196">
        <v>1452.75</v>
      </c>
      <c r="H22" s="196">
        <v>1400</v>
      </c>
      <c r="I22" s="196">
        <v>1400</v>
      </c>
      <c r="J22" s="197">
        <f t="shared" si="7"/>
        <v>0</v>
      </c>
      <c r="K22" s="198">
        <f t="shared" si="8"/>
        <v>0</v>
      </c>
      <c r="L22" s="196"/>
      <c r="M22" s="196"/>
      <c r="N22" s="196"/>
      <c r="O22" s="196"/>
      <c r="P22" s="199"/>
    </row>
    <row r="23" spans="1:19" ht="31.5" customHeight="1" x14ac:dyDescent="0.2">
      <c r="A23" s="193" t="s">
        <v>407</v>
      </c>
      <c r="B23" s="318">
        <v>701001</v>
      </c>
      <c r="C23" s="194" t="s">
        <v>406</v>
      </c>
      <c r="D23" s="195"/>
      <c r="E23" s="196"/>
      <c r="F23" s="196">
        <v>-290.45999999999998</v>
      </c>
      <c r="G23" s="196">
        <v>925</v>
      </c>
      <c r="H23" s="196"/>
      <c r="I23" s="196"/>
      <c r="J23" s="197">
        <f t="shared" si="7"/>
        <v>0</v>
      </c>
      <c r="K23" s="198" t="e">
        <f t="shared" si="8"/>
        <v>#DIV/0!</v>
      </c>
      <c r="L23" s="196"/>
      <c r="M23" s="196"/>
      <c r="N23" s="196"/>
      <c r="O23" s="196"/>
      <c r="P23" s="199"/>
    </row>
    <row r="24" spans="1:19" ht="31.5" customHeight="1" x14ac:dyDescent="0.2">
      <c r="A24" s="193" t="s">
        <v>403</v>
      </c>
      <c r="B24" s="318">
        <v>701202</v>
      </c>
      <c r="C24" s="194" t="s">
        <v>402</v>
      </c>
      <c r="D24" s="195"/>
      <c r="E24" s="196">
        <v>1728</v>
      </c>
      <c r="F24" s="196"/>
      <c r="G24" s="196"/>
      <c r="H24" s="196"/>
      <c r="I24" s="196"/>
      <c r="J24" s="197">
        <f t="shared" si="7"/>
        <v>0</v>
      </c>
      <c r="K24" s="198" t="e">
        <f t="shared" si="8"/>
        <v>#DIV/0!</v>
      </c>
      <c r="L24" s="196"/>
      <c r="M24" s="196"/>
      <c r="N24" s="196"/>
      <c r="O24" s="196"/>
      <c r="P24" s="199"/>
    </row>
    <row r="25" spans="1:19" ht="31.5" customHeight="1" x14ac:dyDescent="0.2">
      <c r="A25" s="193" t="s">
        <v>399</v>
      </c>
      <c r="B25" s="318">
        <v>701100</v>
      </c>
      <c r="C25" s="194" t="s">
        <v>398</v>
      </c>
      <c r="D25" s="195"/>
      <c r="E25" s="196"/>
      <c r="F25" s="196"/>
      <c r="G25" s="196">
        <v>242.37</v>
      </c>
      <c r="H25" s="196">
        <v>548.63</v>
      </c>
      <c r="I25" s="196"/>
      <c r="J25" s="197">
        <f t="shared" si="7"/>
        <v>-548.63</v>
      </c>
      <c r="K25" s="198">
        <f t="shared" si="8"/>
        <v>-1</v>
      </c>
      <c r="L25" s="196"/>
      <c r="M25" s="196"/>
      <c r="N25" s="196"/>
      <c r="O25" s="196"/>
      <c r="P25" s="199"/>
    </row>
    <row r="26" spans="1:19" ht="31.5" customHeight="1" x14ac:dyDescent="0.2">
      <c r="A26" s="193" t="s">
        <v>391</v>
      </c>
      <c r="B26" s="319">
        <v>701302</v>
      </c>
      <c r="C26" s="194" t="s">
        <v>390</v>
      </c>
      <c r="D26" s="195"/>
      <c r="E26" s="196">
        <v>0</v>
      </c>
      <c r="F26" s="196">
        <v>0</v>
      </c>
      <c r="G26" s="196">
        <v>12</v>
      </c>
      <c r="H26" s="196"/>
      <c r="I26" s="196"/>
      <c r="J26" s="197">
        <f t="shared" si="7"/>
        <v>0</v>
      </c>
      <c r="K26" s="198" t="e">
        <f t="shared" si="8"/>
        <v>#DIV/0!</v>
      </c>
      <c r="L26" s="196"/>
      <c r="M26" s="196"/>
      <c r="N26" s="196"/>
      <c r="O26" s="196"/>
      <c r="P26" s="199"/>
    </row>
    <row r="27" spans="1:19" ht="31.5" customHeight="1" x14ac:dyDescent="0.2">
      <c r="A27" s="193" t="s">
        <v>387</v>
      </c>
      <c r="B27" s="318">
        <v>701406</v>
      </c>
      <c r="C27" s="194" t="s">
        <v>386</v>
      </c>
      <c r="D27" s="195"/>
      <c r="E27" s="196">
        <v>7468</v>
      </c>
      <c r="F27" s="196">
        <v>8275</v>
      </c>
      <c r="G27" s="196">
        <v>11375</v>
      </c>
      <c r="H27" s="196">
        <v>7500</v>
      </c>
      <c r="I27" s="196">
        <v>7500</v>
      </c>
      <c r="J27" s="197">
        <f t="shared" si="7"/>
        <v>0</v>
      </c>
      <c r="K27" s="198">
        <f t="shared" si="8"/>
        <v>0</v>
      </c>
      <c r="L27" s="196"/>
      <c r="M27" s="196"/>
      <c r="N27" s="196"/>
      <c r="O27" s="196"/>
      <c r="P27" s="199"/>
    </row>
    <row r="28" spans="1:19" ht="31.5" customHeight="1" x14ac:dyDescent="0.2">
      <c r="A28" s="193" t="s">
        <v>377</v>
      </c>
      <c r="B28" s="318">
        <v>701500</v>
      </c>
      <c r="C28" s="194" t="s">
        <v>376</v>
      </c>
      <c r="D28" s="195"/>
      <c r="E28" s="196">
        <v>52925</v>
      </c>
      <c r="F28" s="196">
        <v>52225</v>
      </c>
      <c r="G28" s="196">
        <v>52095</v>
      </c>
      <c r="H28" s="196">
        <v>50325</v>
      </c>
      <c r="I28" s="196">
        <v>50325</v>
      </c>
      <c r="J28" s="197">
        <f t="shared" si="7"/>
        <v>0</v>
      </c>
      <c r="K28" s="198">
        <f t="shared" si="8"/>
        <v>0</v>
      </c>
      <c r="L28" s="196"/>
      <c r="M28" s="196"/>
      <c r="N28" s="196"/>
      <c r="O28" s="196"/>
      <c r="P28" s="199"/>
    </row>
    <row r="29" spans="1:19" ht="31.5" customHeight="1" x14ac:dyDescent="0.2">
      <c r="A29" s="193" t="s">
        <v>375</v>
      </c>
      <c r="B29" s="318">
        <v>701501</v>
      </c>
      <c r="C29" s="194" t="s">
        <v>374</v>
      </c>
      <c r="D29" s="195"/>
      <c r="E29" s="196">
        <v>705.17</v>
      </c>
      <c r="F29" s="196">
        <v>1813.83</v>
      </c>
      <c r="G29" s="196">
        <v>2642.17</v>
      </c>
      <c r="H29" s="196">
        <v>2081</v>
      </c>
      <c r="I29" s="196">
        <v>2081</v>
      </c>
      <c r="J29" s="197">
        <f t="shared" si="7"/>
        <v>0</v>
      </c>
      <c r="K29" s="198">
        <f t="shared" si="8"/>
        <v>0</v>
      </c>
      <c r="L29" s="196"/>
      <c r="M29" s="196"/>
      <c r="N29" s="196"/>
      <c r="O29" s="196"/>
      <c r="P29" s="199"/>
    </row>
    <row r="30" spans="1:19" ht="31.5" customHeight="1" x14ac:dyDescent="0.2">
      <c r="A30" s="193" t="s">
        <v>363</v>
      </c>
      <c r="B30" s="318">
        <v>701603</v>
      </c>
      <c r="C30" s="194" t="s">
        <v>362</v>
      </c>
      <c r="D30" s="195"/>
      <c r="E30" s="196">
        <v>32305.61</v>
      </c>
      <c r="F30" s="196">
        <v>35854.660000000003</v>
      </c>
      <c r="G30" s="196">
        <v>46352</v>
      </c>
      <c r="H30" s="196">
        <v>30000</v>
      </c>
      <c r="I30" s="196">
        <v>30000</v>
      </c>
      <c r="J30" s="197">
        <f t="shared" si="7"/>
        <v>0</v>
      </c>
      <c r="K30" s="198">
        <f t="shared" si="8"/>
        <v>0</v>
      </c>
      <c r="L30" s="196"/>
      <c r="M30" s="196"/>
      <c r="N30" s="196"/>
      <c r="O30" s="196"/>
      <c r="P30" s="199"/>
    </row>
    <row r="31" spans="1:19" ht="31.5" customHeight="1" x14ac:dyDescent="0.2">
      <c r="A31" s="193" t="s">
        <v>361</v>
      </c>
      <c r="B31" s="318">
        <v>705001</v>
      </c>
      <c r="C31" s="194" t="s">
        <v>360</v>
      </c>
      <c r="D31" s="195"/>
      <c r="E31" s="196">
        <v>10064</v>
      </c>
      <c r="F31" s="196">
        <v>20956.91</v>
      </c>
      <c r="G31" s="196">
        <v>323.15000000000003</v>
      </c>
      <c r="H31" s="196">
        <v>5000</v>
      </c>
      <c r="I31" s="196">
        <v>5000</v>
      </c>
      <c r="J31" s="197">
        <f t="shared" si="7"/>
        <v>0</v>
      </c>
      <c r="K31" s="198">
        <f t="shared" si="8"/>
        <v>0</v>
      </c>
      <c r="L31" s="196"/>
      <c r="M31" s="196"/>
      <c r="N31" s="196"/>
      <c r="O31" s="196">
        <v>1450</v>
      </c>
      <c r="P31" s="199"/>
    </row>
    <row r="32" spans="1:19" ht="31.5" customHeight="1" x14ac:dyDescent="0.2">
      <c r="A32" s="193" t="s">
        <v>359</v>
      </c>
      <c r="B32" s="318">
        <v>705101</v>
      </c>
      <c r="C32" s="194" t="s">
        <v>358</v>
      </c>
      <c r="D32" s="195"/>
      <c r="E32" s="196">
        <v>63911.49</v>
      </c>
      <c r="F32" s="196">
        <v>123315.01000000001</v>
      </c>
      <c r="G32" s="196">
        <v>111817.3</v>
      </c>
      <c r="H32" s="196">
        <v>110000</v>
      </c>
      <c r="I32" s="196">
        <v>110000</v>
      </c>
      <c r="J32" s="197">
        <f t="shared" si="7"/>
        <v>0</v>
      </c>
      <c r="K32" s="198">
        <f t="shared" si="8"/>
        <v>0</v>
      </c>
      <c r="L32" s="196"/>
      <c r="M32" s="196"/>
      <c r="N32" s="196"/>
      <c r="O32" s="196">
        <v>5000</v>
      </c>
      <c r="P32" s="199"/>
    </row>
    <row r="33" spans="1:16" ht="31.5" customHeight="1" x14ac:dyDescent="0.2">
      <c r="A33" s="193" t="s">
        <v>351</v>
      </c>
      <c r="B33" s="318">
        <v>705000</v>
      </c>
      <c r="C33" s="194" t="s">
        <v>350</v>
      </c>
      <c r="D33" s="195"/>
      <c r="E33" s="196">
        <v>119</v>
      </c>
      <c r="F33" s="196">
        <v>1333.83</v>
      </c>
      <c r="G33" s="196">
        <v>5009.4400000000005</v>
      </c>
      <c r="H33" s="196"/>
      <c r="I33" s="196"/>
      <c r="J33" s="197">
        <f t="shared" si="7"/>
        <v>0</v>
      </c>
      <c r="K33" s="198" t="e">
        <f t="shared" si="8"/>
        <v>#DIV/0!</v>
      </c>
      <c r="L33" s="196"/>
      <c r="M33" s="196"/>
      <c r="N33" s="196"/>
      <c r="O33" s="196"/>
      <c r="P33" s="199"/>
    </row>
    <row r="34" spans="1:16" ht="31.5" customHeight="1" x14ac:dyDescent="0.2">
      <c r="A34" s="193" t="s">
        <v>349</v>
      </c>
      <c r="B34" s="318">
        <v>705100</v>
      </c>
      <c r="C34" s="194" t="s">
        <v>348</v>
      </c>
      <c r="D34" s="195"/>
      <c r="E34" s="196">
        <v>13223.6</v>
      </c>
      <c r="F34" s="196">
        <v>9021.66</v>
      </c>
      <c r="G34" s="196">
        <v>3119.85</v>
      </c>
      <c r="H34" s="196">
        <v>5000</v>
      </c>
      <c r="I34" s="196">
        <v>5000</v>
      </c>
      <c r="J34" s="197">
        <f t="shared" si="7"/>
        <v>0</v>
      </c>
      <c r="K34" s="198">
        <f t="shared" si="8"/>
        <v>0</v>
      </c>
      <c r="L34" s="196"/>
      <c r="M34" s="196"/>
      <c r="N34" s="196"/>
      <c r="O34" s="196"/>
      <c r="P34" s="199"/>
    </row>
    <row r="35" spans="1:16" ht="31.5" customHeight="1" x14ac:dyDescent="0.2">
      <c r="A35" s="193" t="s">
        <v>331</v>
      </c>
      <c r="B35" s="318">
        <v>705800</v>
      </c>
      <c r="C35" s="194" t="s">
        <v>330</v>
      </c>
      <c r="D35" s="195"/>
      <c r="E35" s="196"/>
      <c r="F35" s="196"/>
      <c r="G35" s="196">
        <v>5846.71</v>
      </c>
      <c r="H35" s="196"/>
      <c r="I35" s="196"/>
      <c r="J35" s="197">
        <f t="shared" si="7"/>
        <v>0</v>
      </c>
      <c r="K35" s="198" t="e">
        <f t="shared" si="8"/>
        <v>#DIV/0!</v>
      </c>
      <c r="L35" s="196"/>
      <c r="M35" s="196"/>
      <c r="N35" s="196"/>
      <c r="O35" s="196"/>
      <c r="P35" s="199"/>
    </row>
    <row r="36" spans="1:16" ht="31.5" customHeight="1" x14ac:dyDescent="0.2">
      <c r="A36" s="193" t="s">
        <v>309</v>
      </c>
      <c r="B36" s="318">
        <v>706100</v>
      </c>
      <c r="C36" s="194" t="s">
        <v>308</v>
      </c>
      <c r="D36" s="195"/>
      <c r="E36" s="196">
        <v>3912.83</v>
      </c>
      <c r="F36" s="196">
        <v>4148.26</v>
      </c>
      <c r="G36" s="196">
        <v>5303.18</v>
      </c>
      <c r="H36" s="196">
        <v>5000</v>
      </c>
      <c r="I36" s="196">
        <v>5000</v>
      </c>
      <c r="J36" s="197">
        <f t="shared" si="7"/>
        <v>0</v>
      </c>
      <c r="K36" s="198">
        <f t="shared" si="8"/>
        <v>0</v>
      </c>
      <c r="L36" s="196"/>
      <c r="M36" s="196"/>
      <c r="N36" s="196"/>
      <c r="O36" s="196"/>
      <c r="P36" s="199"/>
    </row>
    <row r="37" spans="1:16" ht="31.5" customHeight="1" x14ac:dyDescent="0.2">
      <c r="A37" s="193" t="s">
        <v>276</v>
      </c>
      <c r="B37" s="319">
        <v>706605</v>
      </c>
      <c r="C37" s="194" t="s">
        <v>275</v>
      </c>
      <c r="D37" s="195"/>
      <c r="E37" s="196">
        <v>256</v>
      </c>
      <c r="F37" s="196">
        <v>32.119999999999997</v>
      </c>
      <c r="G37" s="196">
        <v>520.18000000000006</v>
      </c>
      <c r="H37" s="196"/>
      <c r="I37" s="196"/>
      <c r="J37" s="197">
        <f t="shared" si="7"/>
        <v>0</v>
      </c>
      <c r="K37" s="198" t="e">
        <f t="shared" si="8"/>
        <v>#DIV/0!</v>
      </c>
      <c r="L37" s="196"/>
      <c r="M37" s="196"/>
      <c r="N37" s="196"/>
      <c r="O37" s="196"/>
      <c r="P37" s="199"/>
    </row>
    <row r="38" spans="1:16" ht="31.5" customHeight="1" x14ac:dyDescent="0.2">
      <c r="A38" s="193" t="s">
        <v>270</v>
      </c>
      <c r="B38" s="319">
        <v>706600</v>
      </c>
      <c r="C38" s="194" t="s">
        <v>269</v>
      </c>
      <c r="D38" s="195"/>
      <c r="E38" s="196">
        <v>5202.0200000000004</v>
      </c>
      <c r="F38" s="196">
        <v>0</v>
      </c>
      <c r="G38" s="196">
        <v>1443.45</v>
      </c>
      <c r="H38" s="196">
        <v>2000</v>
      </c>
      <c r="I38" s="196">
        <v>2000</v>
      </c>
      <c r="J38" s="197">
        <f t="shared" si="7"/>
        <v>0</v>
      </c>
      <c r="K38" s="198">
        <f t="shared" si="8"/>
        <v>0</v>
      </c>
      <c r="L38" s="196"/>
      <c r="M38" s="196"/>
      <c r="N38" s="196"/>
      <c r="O38" s="196"/>
      <c r="P38" s="199"/>
    </row>
    <row r="39" spans="1:16" ht="31.5" customHeight="1" x14ac:dyDescent="0.2">
      <c r="A39" s="193" t="s">
        <v>258</v>
      </c>
      <c r="B39" s="318">
        <v>707101</v>
      </c>
      <c r="C39" s="194" t="s">
        <v>257</v>
      </c>
      <c r="D39" s="195"/>
      <c r="E39" s="196"/>
      <c r="F39" s="196"/>
      <c r="G39" s="196">
        <v>5250</v>
      </c>
      <c r="H39" s="196">
        <v>10050</v>
      </c>
      <c r="I39" s="196">
        <v>10050</v>
      </c>
      <c r="J39" s="197">
        <f t="shared" ref="J39:J56" si="9">I39-H39</f>
        <v>0</v>
      </c>
      <c r="K39" s="198">
        <f t="shared" ref="K39:K56" si="10">(I39-H39)/H39</f>
        <v>0</v>
      </c>
      <c r="L39" s="196"/>
      <c r="M39" s="196"/>
      <c r="N39" s="196"/>
      <c r="O39" s="196"/>
      <c r="P39" s="199"/>
    </row>
    <row r="40" spans="1:16" ht="31.5" customHeight="1" x14ac:dyDescent="0.2">
      <c r="A40" s="193" t="s">
        <v>244</v>
      </c>
      <c r="B40" s="318">
        <v>707001</v>
      </c>
      <c r="C40" s="194" t="s">
        <v>243</v>
      </c>
      <c r="D40" s="195"/>
      <c r="E40" s="196">
        <v>-12</v>
      </c>
      <c r="F40" s="196">
        <v>-234.51</v>
      </c>
      <c r="G40" s="196"/>
      <c r="H40" s="196"/>
      <c r="I40" s="196"/>
      <c r="J40" s="197">
        <f t="shared" si="9"/>
        <v>0</v>
      </c>
      <c r="K40" s="198" t="e">
        <f t="shared" si="10"/>
        <v>#DIV/0!</v>
      </c>
      <c r="L40" s="196"/>
      <c r="M40" s="196"/>
      <c r="N40" s="196"/>
      <c r="O40" s="196"/>
      <c r="P40" s="199"/>
    </row>
    <row r="41" spans="1:16" ht="31.5" customHeight="1" x14ac:dyDescent="0.2">
      <c r="A41" s="193" t="s">
        <v>234</v>
      </c>
      <c r="B41" s="318">
        <v>707153</v>
      </c>
      <c r="C41" s="194" t="s">
        <v>233</v>
      </c>
      <c r="D41" s="195"/>
      <c r="E41" s="196">
        <v>14.6</v>
      </c>
      <c r="F41" s="196"/>
      <c r="G41" s="196"/>
      <c r="H41" s="196"/>
      <c r="I41" s="196"/>
      <c r="J41" s="197">
        <f t="shared" si="9"/>
        <v>0</v>
      </c>
      <c r="K41" s="198" t="e">
        <f t="shared" si="10"/>
        <v>#DIV/0!</v>
      </c>
      <c r="L41" s="196"/>
      <c r="M41" s="196"/>
      <c r="N41" s="196"/>
      <c r="O41" s="196"/>
      <c r="P41" s="199"/>
    </row>
    <row r="42" spans="1:16" ht="31.5" customHeight="1" x14ac:dyDescent="0.2">
      <c r="A42" s="193" t="s">
        <v>232</v>
      </c>
      <c r="B42" s="318">
        <v>707152</v>
      </c>
      <c r="C42" s="194" t="s">
        <v>231</v>
      </c>
      <c r="D42" s="195"/>
      <c r="E42" s="196">
        <v>1185.7</v>
      </c>
      <c r="F42" s="196">
        <v>1184.6500000000001</v>
      </c>
      <c r="G42" s="196">
        <v>672.19</v>
      </c>
      <c r="H42" s="196">
        <v>1032</v>
      </c>
      <c r="I42" s="196">
        <v>1032</v>
      </c>
      <c r="J42" s="197">
        <f t="shared" si="9"/>
        <v>0</v>
      </c>
      <c r="K42" s="198">
        <f t="shared" si="10"/>
        <v>0</v>
      </c>
      <c r="L42" s="196"/>
      <c r="M42" s="196"/>
      <c r="N42" s="196"/>
      <c r="O42" s="196"/>
      <c r="P42" s="199"/>
    </row>
    <row r="43" spans="1:16" ht="31.5" customHeight="1" x14ac:dyDescent="0.2">
      <c r="A43" s="193" t="s">
        <v>230</v>
      </c>
      <c r="B43" s="318">
        <v>707151</v>
      </c>
      <c r="C43" s="194" t="s">
        <v>15</v>
      </c>
      <c r="D43" s="195"/>
      <c r="E43" s="196">
        <v>5873.12</v>
      </c>
      <c r="F43" s="196">
        <v>3736.62</v>
      </c>
      <c r="G43" s="317">
        <v>3420</v>
      </c>
      <c r="H43" s="317">
        <f>285*12</f>
        <v>3420</v>
      </c>
      <c r="I43" s="196">
        <v>3420</v>
      </c>
      <c r="J43" s="197">
        <f t="shared" si="9"/>
        <v>0</v>
      </c>
      <c r="K43" s="198">
        <f t="shared" si="10"/>
        <v>0</v>
      </c>
      <c r="L43" s="196"/>
      <c r="M43" s="196"/>
      <c r="N43" s="196"/>
      <c r="O43" s="196"/>
      <c r="P43" s="199"/>
    </row>
    <row r="44" spans="1:16" ht="31.5" customHeight="1" x14ac:dyDescent="0.2">
      <c r="A44" s="193" t="s">
        <v>229</v>
      </c>
      <c r="B44" s="318">
        <v>707151</v>
      </c>
      <c r="C44" s="194" t="s">
        <v>16</v>
      </c>
      <c r="D44" s="195"/>
      <c r="E44" s="196">
        <v>112.47</v>
      </c>
      <c r="F44" s="196">
        <v>56.61</v>
      </c>
      <c r="G44" s="196">
        <v>37.76</v>
      </c>
      <c r="H44" s="196">
        <v>30</v>
      </c>
      <c r="I44" s="196">
        <v>30</v>
      </c>
      <c r="J44" s="197">
        <f t="shared" si="9"/>
        <v>0</v>
      </c>
      <c r="K44" s="198">
        <f t="shared" si="10"/>
        <v>0</v>
      </c>
      <c r="L44" s="196"/>
      <c r="M44" s="196"/>
      <c r="N44" s="196"/>
      <c r="O44" s="196"/>
      <c r="P44" s="199"/>
    </row>
    <row r="45" spans="1:16" ht="31.5" customHeight="1" x14ac:dyDescent="0.2">
      <c r="A45" s="193" t="s">
        <v>224</v>
      </c>
      <c r="B45" s="318">
        <v>707300</v>
      </c>
      <c r="C45" s="194" t="s">
        <v>223</v>
      </c>
      <c r="D45" s="195"/>
      <c r="E45" s="196">
        <v>979.71</v>
      </c>
      <c r="F45" s="196"/>
      <c r="G45" s="196"/>
      <c r="H45" s="196"/>
      <c r="I45" s="196"/>
      <c r="J45" s="197">
        <f t="shared" si="9"/>
        <v>0</v>
      </c>
      <c r="K45" s="198" t="e">
        <f t="shared" si="10"/>
        <v>#DIV/0!</v>
      </c>
      <c r="L45" s="196"/>
      <c r="M45" s="196"/>
      <c r="N45" s="196"/>
      <c r="O45" s="196"/>
      <c r="P45" s="199"/>
    </row>
    <row r="46" spans="1:16" ht="31.5" customHeight="1" x14ac:dyDescent="0.2">
      <c r="A46" s="193" t="s">
        <v>220</v>
      </c>
      <c r="B46" s="318">
        <v>707300</v>
      </c>
      <c r="C46" s="194" t="s">
        <v>17</v>
      </c>
      <c r="D46" s="195"/>
      <c r="E46" s="196">
        <v>7886.03</v>
      </c>
      <c r="F46" s="196">
        <v>6760.76</v>
      </c>
      <c r="G46" s="196">
        <v>6793.2300000000005</v>
      </c>
      <c r="H46" s="196">
        <v>7000</v>
      </c>
      <c r="I46" s="196">
        <v>7000</v>
      </c>
      <c r="J46" s="197">
        <f t="shared" si="9"/>
        <v>0</v>
      </c>
      <c r="K46" s="198">
        <f t="shared" si="10"/>
        <v>0</v>
      </c>
      <c r="L46" s="196"/>
      <c r="M46" s="196"/>
      <c r="N46" s="196"/>
      <c r="O46" s="196"/>
      <c r="P46" s="199"/>
    </row>
    <row r="47" spans="1:16" ht="31.5" customHeight="1" x14ac:dyDescent="0.2">
      <c r="A47" s="193" t="s">
        <v>217</v>
      </c>
      <c r="B47" s="318">
        <v>707306</v>
      </c>
      <c r="C47" s="194" t="s">
        <v>216</v>
      </c>
      <c r="D47" s="195"/>
      <c r="E47" s="196"/>
      <c r="F47" s="196">
        <v>2504.58</v>
      </c>
      <c r="G47" s="196">
        <v>2534.83</v>
      </c>
      <c r="H47" s="196"/>
      <c r="I47" s="196"/>
      <c r="J47" s="197">
        <f t="shared" si="9"/>
        <v>0</v>
      </c>
      <c r="K47" s="198" t="e">
        <f t="shared" si="10"/>
        <v>#DIV/0!</v>
      </c>
      <c r="L47" s="196"/>
      <c r="M47" s="196"/>
      <c r="N47" s="196"/>
      <c r="O47" s="196"/>
      <c r="P47" s="199"/>
    </row>
    <row r="48" spans="1:16" ht="31.5" customHeight="1" x14ac:dyDescent="0.2">
      <c r="A48" s="193" t="s">
        <v>211</v>
      </c>
      <c r="B48" s="318">
        <v>707502</v>
      </c>
      <c r="C48" s="194" t="s">
        <v>210</v>
      </c>
      <c r="D48" s="195"/>
      <c r="E48" s="196">
        <v>4650</v>
      </c>
      <c r="F48" s="196"/>
      <c r="G48" s="196"/>
      <c r="H48" s="196"/>
      <c r="I48" s="196"/>
      <c r="J48" s="197">
        <f t="shared" si="9"/>
        <v>0</v>
      </c>
      <c r="K48" s="198" t="e">
        <f t="shared" si="10"/>
        <v>#DIV/0!</v>
      </c>
      <c r="L48" s="196"/>
      <c r="M48" s="196"/>
      <c r="N48" s="196"/>
      <c r="O48" s="196"/>
      <c r="P48" s="199"/>
    </row>
    <row r="49" spans="1:16" ht="31.5" customHeight="1" x14ac:dyDescent="0.2">
      <c r="A49" s="193" t="s">
        <v>203</v>
      </c>
      <c r="B49" s="318">
        <v>707301</v>
      </c>
      <c r="C49" s="194" t="s">
        <v>18</v>
      </c>
      <c r="D49" s="195"/>
      <c r="E49" s="196">
        <v>2523.75</v>
      </c>
      <c r="F49" s="196"/>
      <c r="G49" s="196">
        <v>2996.26</v>
      </c>
      <c r="H49" s="196">
        <v>5000</v>
      </c>
      <c r="I49" s="196">
        <v>5000</v>
      </c>
      <c r="J49" s="197">
        <f t="shared" si="9"/>
        <v>0</v>
      </c>
      <c r="K49" s="198">
        <f t="shared" si="10"/>
        <v>0</v>
      </c>
      <c r="L49" s="196"/>
      <c r="M49" s="196"/>
      <c r="N49" s="196"/>
      <c r="O49" s="196"/>
      <c r="P49" s="199"/>
    </row>
    <row r="50" spans="1:16" ht="31.5" customHeight="1" x14ac:dyDescent="0.2">
      <c r="A50" s="193" t="s">
        <v>196</v>
      </c>
      <c r="B50" s="318">
        <v>707309</v>
      </c>
      <c r="C50" s="194" t="s">
        <v>19</v>
      </c>
      <c r="D50" s="195"/>
      <c r="E50" s="196">
        <v>541.56000000000006</v>
      </c>
      <c r="F50" s="196"/>
      <c r="G50" s="196">
        <v>2289.23</v>
      </c>
      <c r="H50" s="196"/>
      <c r="I50" s="196"/>
      <c r="J50" s="197">
        <f t="shared" si="9"/>
        <v>0</v>
      </c>
      <c r="K50" s="198" t="e">
        <f t="shared" si="10"/>
        <v>#DIV/0!</v>
      </c>
      <c r="L50" s="196"/>
      <c r="M50" s="196"/>
      <c r="N50" s="196"/>
      <c r="O50" s="196"/>
      <c r="P50" s="199"/>
    </row>
    <row r="51" spans="1:16" ht="31.5" customHeight="1" x14ac:dyDescent="0.2">
      <c r="A51" s="193" t="s">
        <v>193</v>
      </c>
      <c r="B51" s="318">
        <v>707307</v>
      </c>
      <c r="C51" s="194" t="s">
        <v>192</v>
      </c>
      <c r="D51" s="195"/>
      <c r="E51" s="196">
        <v>3049.11</v>
      </c>
      <c r="F51" s="196">
        <v>2551.7200000000003</v>
      </c>
      <c r="G51" s="196">
        <v>27129.52</v>
      </c>
      <c r="H51" s="196">
        <f>2672+2400</f>
        <v>5072</v>
      </c>
      <c r="I51" s="196">
        <v>5000</v>
      </c>
      <c r="J51" s="197">
        <f t="shared" si="9"/>
        <v>-72</v>
      </c>
      <c r="K51" s="198">
        <f t="shared" si="10"/>
        <v>-1.4195583596214511E-2</v>
      </c>
      <c r="L51" s="196"/>
      <c r="M51" s="196"/>
      <c r="N51" s="196"/>
      <c r="O51" s="196"/>
      <c r="P51" s="199"/>
    </row>
    <row r="52" spans="1:16" ht="31.5" customHeight="1" x14ac:dyDescent="0.2">
      <c r="A52" s="193" t="s">
        <v>189</v>
      </c>
      <c r="B52" s="318">
        <v>707350</v>
      </c>
      <c r="C52" s="194" t="s">
        <v>188</v>
      </c>
      <c r="D52" s="195"/>
      <c r="E52" s="196">
        <v>978.97</v>
      </c>
      <c r="F52" s="196">
        <v>1036.17</v>
      </c>
      <c r="G52" s="196">
        <v>25.5</v>
      </c>
      <c r="H52" s="196"/>
      <c r="I52" s="196"/>
      <c r="J52" s="197">
        <f t="shared" si="9"/>
        <v>0</v>
      </c>
      <c r="K52" s="198" t="e">
        <f t="shared" si="10"/>
        <v>#DIV/0!</v>
      </c>
      <c r="L52" s="196"/>
      <c r="M52" s="196"/>
      <c r="N52" s="196"/>
      <c r="O52" s="196"/>
      <c r="P52" s="199"/>
    </row>
    <row r="53" spans="1:16" ht="31.5" customHeight="1" x14ac:dyDescent="0.2">
      <c r="A53" s="193" t="s">
        <v>183</v>
      </c>
      <c r="B53" s="318">
        <v>707403</v>
      </c>
      <c r="C53" s="194" t="s">
        <v>182</v>
      </c>
      <c r="D53" s="195"/>
      <c r="E53" s="196">
        <v>25.900000000000002</v>
      </c>
      <c r="F53" s="196"/>
      <c r="G53" s="196"/>
      <c r="H53" s="196"/>
      <c r="I53" s="196"/>
      <c r="J53" s="197">
        <f t="shared" si="9"/>
        <v>0</v>
      </c>
      <c r="K53" s="198" t="e">
        <f t="shared" si="10"/>
        <v>#DIV/0!</v>
      </c>
      <c r="L53" s="196"/>
      <c r="M53" s="196"/>
      <c r="N53" s="196"/>
      <c r="O53" s="196"/>
      <c r="P53" s="199"/>
    </row>
    <row r="54" spans="1:16" ht="31.5" customHeight="1" x14ac:dyDescent="0.2">
      <c r="A54" s="193" t="s">
        <v>181</v>
      </c>
      <c r="B54" s="318">
        <v>707400</v>
      </c>
      <c r="C54" s="194" t="s">
        <v>20</v>
      </c>
      <c r="D54" s="195"/>
      <c r="E54" s="196">
        <v>6479.87</v>
      </c>
      <c r="F54" s="196">
        <v>5086.97</v>
      </c>
      <c r="G54" s="196">
        <v>4449.47</v>
      </c>
      <c r="H54" s="196">
        <v>5000</v>
      </c>
      <c r="I54" s="196">
        <v>5000</v>
      </c>
      <c r="J54" s="197">
        <f t="shared" si="9"/>
        <v>0</v>
      </c>
      <c r="K54" s="198">
        <f t="shared" si="10"/>
        <v>0</v>
      </c>
      <c r="L54" s="196"/>
      <c r="M54" s="196"/>
      <c r="N54" s="196"/>
      <c r="O54" s="196"/>
      <c r="P54" s="199"/>
    </row>
    <row r="55" spans="1:16" ht="31.5" customHeight="1" x14ac:dyDescent="0.2">
      <c r="A55" s="193" t="s">
        <v>180</v>
      </c>
      <c r="B55" s="318">
        <v>702105</v>
      </c>
      <c r="C55" s="194" t="s">
        <v>179</v>
      </c>
      <c r="D55" s="195"/>
      <c r="E55" s="196">
        <v>4487.54</v>
      </c>
      <c r="F55" s="196"/>
      <c r="G55" s="196">
        <v>932.4</v>
      </c>
      <c r="H55" s="196"/>
      <c r="I55" s="196"/>
      <c r="J55" s="197">
        <f t="shared" si="9"/>
        <v>0</v>
      </c>
      <c r="K55" s="198" t="e">
        <f t="shared" si="10"/>
        <v>#DIV/0!</v>
      </c>
      <c r="L55" s="196"/>
      <c r="M55" s="196"/>
      <c r="N55" s="196"/>
      <c r="O55" s="196"/>
      <c r="P55" s="199"/>
    </row>
    <row r="56" spans="1:16" ht="31.5" customHeight="1" x14ac:dyDescent="0.2">
      <c r="A56" s="193" t="s">
        <v>178</v>
      </c>
      <c r="B56" s="318">
        <v>707505</v>
      </c>
      <c r="C56" s="194" t="s">
        <v>21</v>
      </c>
      <c r="D56" s="195"/>
      <c r="E56" s="196">
        <v>8084</v>
      </c>
      <c r="F56" s="196">
        <v>8272</v>
      </c>
      <c r="G56" s="196">
        <v>8460</v>
      </c>
      <c r="H56" s="196">
        <v>24000</v>
      </c>
      <c r="I56" s="196">
        <v>24000</v>
      </c>
      <c r="J56" s="197">
        <f t="shared" si="9"/>
        <v>0</v>
      </c>
      <c r="K56" s="198">
        <f t="shared" si="10"/>
        <v>0</v>
      </c>
      <c r="L56" s="196"/>
      <c r="M56" s="196"/>
      <c r="N56" s="196"/>
      <c r="O56" s="196"/>
      <c r="P56" s="199" t="s">
        <v>1109</v>
      </c>
    </row>
    <row r="57" spans="1:16" ht="31.5" customHeight="1" x14ac:dyDescent="0.2">
      <c r="A57" s="193" t="s">
        <v>177</v>
      </c>
      <c r="B57" s="318">
        <v>707505</v>
      </c>
      <c r="C57" s="194" t="s">
        <v>176</v>
      </c>
      <c r="D57" s="195"/>
      <c r="E57" s="196">
        <v>842.49</v>
      </c>
      <c r="F57" s="196">
        <v>279.01</v>
      </c>
      <c r="G57" s="196">
        <v>120</v>
      </c>
      <c r="H57" s="196"/>
      <c r="I57" s="196"/>
      <c r="J57" s="197">
        <f t="shared" ref="J57:J62" si="11">I57-H57</f>
        <v>0</v>
      </c>
      <c r="K57" s="198" t="e">
        <f t="shared" ref="K57:K62" si="12">(I57-H57)/H57</f>
        <v>#DIV/0!</v>
      </c>
      <c r="L57" s="196"/>
      <c r="M57" s="196"/>
      <c r="N57" s="196"/>
      <c r="O57" s="196"/>
      <c r="P57" s="199"/>
    </row>
    <row r="58" spans="1:16" ht="31.5" customHeight="1" x14ac:dyDescent="0.2">
      <c r="A58" s="193"/>
      <c r="B58" s="193"/>
      <c r="C58" s="194"/>
      <c r="D58" s="195"/>
      <c r="E58" s="196"/>
      <c r="F58" s="196"/>
      <c r="G58" s="196"/>
      <c r="H58" s="196"/>
      <c r="I58" s="196"/>
      <c r="J58" s="197">
        <f t="shared" si="11"/>
        <v>0</v>
      </c>
      <c r="K58" s="198" t="e">
        <f t="shared" si="12"/>
        <v>#DIV/0!</v>
      </c>
      <c r="L58" s="196"/>
      <c r="M58" s="196"/>
      <c r="N58" s="196"/>
      <c r="O58" s="196"/>
      <c r="P58" s="199"/>
    </row>
    <row r="59" spans="1:16" ht="31.5" customHeight="1" x14ac:dyDescent="0.2">
      <c r="A59" s="193"/>
      <c r="B59" s="193"/>
      <c r="C59" s="194"/>
      <c r="D59" s="195"/>
      <c r="E59" s="196"/>
      <c r="F59" s="196"/>
      <c r="G59" s="196"/>
      <c r="H59" s="196"/>
      <c r="I59" s="196"/>
      <c r="J59" s="197">
        <f t="shared" si="11"/>
        <v>0</v>
      </c>
      <c r="K59" s="198" t="e">
        <f t="shared" si="12"/>
        <v>#DIV/0!</v>
      </c>
      <c r="L59" s="196"/>
      <c r="M59" s="196"/>
      <c r="N59" s="196"/>
      <c r="O59" s="196"/>
      <c r="P59" s="199"/>
    </row>
    <row r="60" spans="1:16" ht="31.5" customHeight="1" x14ac:dyDescent="0.2">
      <c r="A60" s="193"/>
      <c r="B60" s="193"/>
      <c r="C60" s="194"/>
      <c r="D60" s="195"/>
      <c r="E60" s="196"/>
      <c r="F60" s="196"/>
      <c r="G60" s="196"/>
      <c r="H60" s="196"/>
      <c r="I60" s="196"/>
      <c r="J60" s="197">
        <f t="shared" si="11"/>
        <v>0</v>
      </c>
      <c r="K60" s="198" t="e">
        <f>(I60-H60)/H60</f>
        <v>#DIV/0!</v>
      </c>
      <c r="L60" s="196"/>
      <c r="M60" s="196"/>
      <c r="N60" s="196"/>
      <c r="O60" s="196"/>
      <c r="P60" s="199"/>
    </row>
    <row r="61" spans="1:16" ht="31.5" customHeight="1" x14ac:dyDescent="0.2">
      <c r="A61" s="193"/>
      <c r="B61" s="193"/>
      <c r="C61" s="194"/>
      <c r="D61" s="195"/>
      <c r="E61" s="196"/>
      <c r="F61" s="196"/>
      <c r="G61" s="196"/>
      <c r="H61" s="196"/>
      <c r="I61" s="196"/>
      <c r="J61" s="197">
        <f t="shared" si="11"/>
        <v>0</v>
      </c>
      <c r="K61" s="198" t="e">
        <f t="shared" si="12"/>
        <v>#DIV/0!</v>
      </c>
      <c r="L61" s="196"/>
      <c r="M61" s="196"/>
      <c r="N61" s="196"/>
      <c r="O61" s="196"/>
      <c r="P61" s="199"/>
    </row>
    <row r="62" spans="1:16" ht="13.5" thickBot="1" x14ac:dyDescent="0.25">
      <c r="A62" s="200"/>
      <c r="B62" s="200"/>
      <c r="C62" s="177" t="s">
        <v>22</v>
      </c>
      <c r="D62" s="201"/>
      <c r="E62" s="180">
        <f>SUM(E21:E61)</f>
        <v>258223.41999999995</v>
      </c>
      <c r="F62" s="180">
        <f t="shared" ref="F62:I62" si="13">SUM(F21:F61)</f>
        <v>295642.36</v>
      </c>
      <c r="G62" s="180">
        <f t="shared" si="13"/>
        <v>324081.49</v>
      </c>
      <c r="H62" s="180">
        <f t="shared" si="13"/>
        <v>282258.63</v>
      </c>
      <c r="I62" s="180">
        <f t="shared" si="13"/>
        <v>281638</v>
      </c>
      <c r="J62" s="180">
        <f t="shared" si="11"/>
        <v>-620.63000000000466</v>
      </c>
      <c r="K62" s="181">
        <f t="shared" si="12"/>
        <v>-2.1987990234346587E-3</v>
      </c>
      <c r="L62" s="180">
        <f>SUM(L21:L61)</f>
        <v>0</v>
      </c>
      <c r="M62" s="180">
        <f t="shared" ref="M62:O62" si="14">SUM(M21:M61)</f>
        <v>0</v>
      </c>
      <c r="N62" s="180">
        <f t="shared" si="14"/>
        <v>0</v>
      </c>
      <c r="O62" s="180">
        <f t="shared" si="14"/>
        <v>6450</v>
      </c>
      <c r="P62" s="202"/>
    </row>
    <row r="63" spans="1:16" ht="13.5" thickBot="1" x14ac:dyDescent="0.25">
      <c r="A63" s="203"/>
      <c r="B63" s="203"/>
      <c r="C63" s="204" t="s">
        <v>702</v>
      </c>
      <c r="D63" s="205"/>
      <c r="E63" s="206">
        <f>E18+E62</f>
        <v>310904.83999999997</v>
      </c>
      <c r="F63" s="206">
        <f>F18+F62</f>
        <v>299391.87</v>
      </c>
      <c r="G63" s="206">
        <f>G18+G62</f>
        <v>326201.61</v>
      </c>
      <c r="H63" s="206">
        <f>H18+H62</f>
        <v>282767.63</v>
      </c>
      <c r="I63" s="206">
        <f>I18+I62</f>
        <v>282138</v>
      </c>
      <c r="J63" s="206">
        <f>I63-H63</f>
        <v>-629.63000000000466</v>
      </c>
      <c r="K63" s="207">
        <f>(I63-H63)/H63</f>
        <v>-2.226669297330832E-3</v>
      </c>
      <c r="L63" s="206">
        <f>L18+L62</f>
        <v>0</v>
      </c>
      <c r="M63" s="206">
        <f>M18+M62</f>
        <v>0</v>
      </c>
      <c r="N63" s="206">
        <f>N18+N62</f>
        <v>0</v>
      </c>
      <c r="O63" s="206">
        <f>O18+O62</f>
        <v>6450</v>
      </c>
      <c r="P63" s="208"/>
    </row>
    <row r="64" spans="1:16" x14ac:dyDescent="0.2">
      <c r="A64" s="203"/>
      <c r="B64" s="203"/>
      <c r="C64" s="209" t="s">
        <v>698</v>
      </c>
      <c r="D64" s="210"/>
      <c r="E64" s="211"/>
      <c r="F64" s="211"/>
      <c r="G64" s="211"/>
      <c r="H64" s="212">
        <v>0</v>
      </c>
      <c r="I64" s="213"/>
      <c r="J64" s="213"/>
      <c r="K64" s="214"/>
      <c r="L64" s="213"/>
      <c r="M64" s="213"/>
      <c r="N64" s="213"/>
      <c r="O64" s="213"/>
      <c r="P64" s="215"/>
    </row>
    <row r="65" spans="1:16" x14ac:dyDescent="0.2">
      <c r="A65" s="203"/>
      <c r="B65" s="203"/>
      <c r="C65" s="183" t="s">
        <v>699</v>
      </c>
      <c r="D65" s="184"/>
      <c r="E65" s="216"/>
      <c r="F65" s="216"/>
      <c r="G65" s="216"/>
      <c r="H65" s="185">
        <v>13144</v>
      </c>
      <c r="I65" s="217"/>
      <c r="J65" s="217"/>
      <c r="K65" s="218"/>
      <c r="L65" s="217"/>
      <c r="M65" s="217"/>
      <c r="N65" s="217"/>
      <c r="O65" s="217"/>
      <c r="P65" s="219"/>
    </row>
    <row r="66" spans="1:16" x14ac:dyDescent="0.2">
      <c r="A66" s="203"/>
      <c r="B66" s="203"/>
      <c r="C66" s="183" t="s">
        <v>700</v>
      </c>
      <c r="D66" s="184"/>
      <c r="E66" s="216"/>
      <c r="F66" s="216"/>
      <c r="G66" s="216"/>
      <c r="H66" s="220">
        <f>H64-H10</f>
        <v>0</v>
      </c>
      <c r="I66" s="217"/>
      <c r="J66" s="217"/>
      <c r="K66" s="218"/>
      <c r="L66" s="217"/>
      <c r="M66" s="217"/>
      <c r="N66" s="217"/>
      <c r="O66" s="217"/>
      <c r="P66" s="219"/>
    </row>
    <row r="67" spans="1:16" x14ac:dyDescent="0.2">
      <c r="A67" s="221"/>
      <c r="B67" s="221"/>
      <c r="C67" s="183" t="s">
        <v>701</v>
      </c>
      <c r="D67" s="184"/>
      <c r="E67" s="217"/>
      <c r="F67" s="217"/>
      <c r="G67" s="217"/>
      <c r="H67" s="220">
        <f>H65-H63</f>
        <v>-269623.63</v>
      </c>
      <c r="I67" s="217"/>
      <c r="J67" s="217"/>
      <c r="K67" s="218"/>
      <c r="L67" s="217"/>
      <c r="M67" s="217"/>
      <c r="N67" s="217"/>
      <c r="O67" s="217"/>
      <c r="P67" s="219"/>
    </row>
    <row r="69" spans="1:16" s="157" customFormat="1" ht="27" customHeight="1" thickBot="1" x14ac:dyDescent="0.25">
      <c r="A69" s="158" t="s">
        <v>687</v>
      </c>
      <c r="B69" s="158" t="s">
        <v>687</v>
      </c>
      <c r="M69" s="406" t="s">
        <v>690</v>
      </c>
      <c r="N69" s="406"/>
      <c r="O69" s="406"/>
    </row>
    <row r="70" spans="1:16" s="157" customFormat="1" ht="51.75" thickBot="1" x14ac:dyDescent="0.25">
      <c r="A70" s="225"/>
      <c r="B70" s="225"/>
      <c r="C70" s="229" t="s">
        <v>633</v>
      </c>
      <c r="D70" s="249"/>
      <c r="E70" s="234" t="s">
        <v>749</v>
      </c>
      <c r="F70" s="234" t="s">
        <v>750</v>
      </c>
      <c r="G70" s="234" t="s">
        <v>751</v>
      </c>
      <c r="H70" s="288" t="s">
        <v>747</v>
      </c>
      <c r="I70" s="234" t="s">
        <v>748</v>
      </c>
      <c r="J70" s="234" t="s">
        <v>745</v>
      </c>
      <c r="K70" s="289" t="s">
        <v>641</v>
      </c>
      <c r="M70" s="145"/>
      <c r="N70" s="145" t="s">
        <v>693</v>
      </c>
      <c r="O70" s="145" t="s">
        <v>694</v>
      </c>
    </row>
    <row r="71" spans="1:16" s="157" customFormat="1" x14ac:dyDescent="0.2">
      <c r="A71" s="225"/>
      <c r="B71" s="225"/>
      <c r="C71" s="194" t="s">
        <v>688</v>
      </c>
      <c r="D71" s="195"/>
      <c r="E71" s="226"/>
      <c r="F71" s="226"/>
      <c r="G71" s="226"/>
      <c r="H71" s="226"/>
      <c r="I71" s="226"/>
      <c r="J71" s="227">
        <f>I71-H71</f>
        <v>0</v>
      </c>
      <c r="K71" s="228" t="e">
        <f>(I71-H71)/H71</f>
        <v>#DIV/0!</v>
      </c>
      <c r="M71" s="146" t="s">
        <v>691</v>
      </c>
      <c r="N71" s="146">
        <v>5</v>
      </c>
      <c r="O71" s="146">
        <v>0</v>
      </c>
    </row>
    <row r="72" spans="1:16" s="157" customFormat="1" x14ac:dyDescent="0.2">
      <c r="M72" s="146" t="s">
        <v>692</v>
      </c>
      <c r="N72" s="146"/>
      <c r="O72" s="146"/>
    </row>
    <row r="73" spans="1:16" s="157" customFormat="1" x14ac:dyDescent="0.2">
      <c r="M73" s="146" t="s">
        <v>23</v>
      </c>
      <c r="N73" s="146">
        <f>SUM(N71:N72)</f>
        <v>5</v>
      </c>
      <c r="O73" s="146">
        <f>SUM(O71:O72)</f>
        <v>0</v>
      </c>
    </row>
    <row r="74" spans="1:16" s="157" customFormat="1" x14ac:dyDescent="0.2"/>
    <row r="75" spans="1:16" s="157" customFormat="1" x14ac:dyDescent="0.2"/>
    <row r="76" spans="1:16" s="157" customFormat="1" x14ac:dyDescent="0.2"/>
  </sheetData>
  <mergeCells count="2">
    <mergeCell ref="L3:N3"/>
    <mergeCell ref="M69:O69"/>
  </mergeCells>
  <pageMargins left="0.25" right="0.25" top="0.67708333333333304" bottom="0.35416666666666702" header="0.3" footer="0.3"/>
  <pageSetup paperSize="17" scale="70" orientation="landscape" r:id="rId1"/>
  <headerFooter>
    <oddHeader>&amp;C&amp;"Calibri,Bold"&amp;A</oddHeader>
    <oddFooter>&amp;Rprinted: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3"/>
  <sheetViews>
    <sheetView showGridLines="0" zoomScaleNormal="100" workbookViewId="0">
      <selection activeCell="H6" sqref="H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826</v>
      </c>
      <c r="O1" s="164"/>
    </row>
    <row r="2" spans="1:19" ht="23.25" customHeight="1" thickBot="1" x14ac:dyDescent="0.3">
      <c r="A2" s="290" t="s">
        <v>810</v>
      </c>
      <c r="B2" s="232"/>
      <c r="C2" s="292" t="s">
        <v>827</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173433.85+344.05</f>
        <v>173777.9</v>
      </c>
      <c r="F6" s="171">
        <f>170231.13+303.58</f>
        <v>170534.71</v>
      </c>
      <c r="G6" s="171">
        <f>127750.79</f>
        <v>127750.79</v>
      </c>
      <c r="H6" s="171">
        <f>SUM('FT Salaries'!E17)</f>
        <v>170534.288</v>
      </c>
      <c r="I6" s="172">
        <f>SUM(H6)</f>
        <v>170534.288</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173777.9</v>
      </c>
      <c r="F8" s="179">
        <f>SUM(F6:F7)</f>
        <v>170534.71</v>
      </c>
      <c r="G8" s="179">
        <f>SUM(G6:G7)</f>
        <v>127750.79</v>
      </c>
      <c r="H8" s="179">
        <f>SUM(H6:H7)</f>
        <v>170534.288</v>
      </c>
      <c r="I8" s="179">
        <f>SUM(I6:I7)</f>
        <v>170534.288</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9"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585</v>
      </c>
      <c r="B12" s="318">
        <v>601306</v>
      </c>
      <c r="C12" s="146" t="s">
        <v>10</v>
      </c>
      <c r="D12" s="170"/>
      <c r="E12" s="171"/>
      <c r="F12" s="171"/>
      <c r="G12" s="171">
        <v>12711.79</v>
      </c>
      <c r="H12" s="171">
        <v>9675</v>
      </c>
      <c r="I12" s="172">
        <v>21000</v>
      </c>
      <c r="J12" s="173">
        <f t="shared" si="1"/>
        <v>11325</v>
      </c>
      <c r="K12" s="174">
        <f t="shared" ref="K12:K19" si="2">(I12-H12)/H12</f>
        <v>1.1705426356589148</v>
      </c>
      <c r="L12" s="172"/>
      <c r="M12" s="175"/>
      <c r="N12" s="175"/>
      <c r="O12" s="175"/>
      <c r="P12" s="147" t="s">
        <v>1120</v>
      </c>
      <c r="Q12" s="157"/>
      <c r="R12" s="157"/>
      <c r="S12" s="157"/>
    </row>
    <row r="13" spans="1:19" x14ac:dyDescent="0.2">
      <c r="A13" s="169" t="s">
        <v>578</v>
      </c>
      <c r="B13" s="318">
        <v>601400</v>
      </c>
      <c r="C13" s="146" t="s">
        <v>577</v>
      </c>
      <c r="D13" s="170"/>
      <c r="E13" s="171"/>
      <c r="F13" s="171"/>
      <c r="G13" s="171"/>
      <c r="H13" s="171"/>
      <c r="I13" s="172">
        <v>11000</v>
      </c>
      <c r="J13" s="173">
        <f t="shared" si="1"/>
        <v>11000</v>
      </c>
      <c r="K13" s="174" t="e">
        <f t="shared" si="2"/>
        <v>#DIV/0!</v>
      </c>
      <c r="L13" s="172"/>
      <c r="M13" s="175"/>
      <c r="N13" s="175"/>
      <c r="O13" s="175">
        <v>2000</v>
      </c>
      <c r="P13" s="147" t="s">
        <v>1121</v>
      </c>
      <c r="Q13" s="157"/>
      <c r="R13" s="157"/>
      <c r="S13" s="157"/>
    </row>
    <row r="14" spans="1:19" x14ac:dyDescent="0.2">
      <c r="A14" s="169" t="s">
        <v>566</v>
      </c>
      <c r="B14" s="318">
        <v>601501</v>
      </c>
      <c r="C14" s="146" t="s">
        <v>565</v>
      </c>
      <c r="D14" s="170"/>
      <c r="E14" s="171">
        <v>7184.75</v>
      </c>
      <c r="F14" s="171">
        <v>7505.71</v>
      </c>
      <c r="G14" s="171">
        <v>8183.09</v>
      </c>
      <c r="H14" s="171"/>
      <c r="I14" s="172">
        <v>10000</v>
      </c>
      <c r="J14" s="173">
        <f t="shared" si="1"/>
        <v>10000</v>
      </c>
      <c r="K14" s="174" t="e">
        <f t="shared" si="2"/>
        <v>#DIV/0!</v>
      </c>
      <c r="L14" s="172"/>
      <c r="M14" s="175"/>
      <c r="N14" s="175"/>
      <c r="O14" s="175">
        <v>1000</v>
      </c>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169"/>
      <c r="B18" s="169"/>
      <c r="C18" s="146"/>
      <c r="D18" s="170"/>
      <c r="E18" s="171"/>
      <c r="F18" s="171"/>
      <c r="G18" s="171"/>
      <c r="H18" s="171"/>
      <c r="I18" s="172"/>
      <c r="J18" s="173">
        <f t="shared" si="1"/>
        <v>0</v>
      </c>
      <c r="K18" s="174" t="e">
        <f t="shared" si="2"/>
        <v>#DIV/0!</v>
      </c>
      <c r="L18" s="172"/>
      <c r="M18" s="175"/>
      <c r="N18" s="175"/>
      <c r="O18" s="175"/>
      <c r="P18" s="147"/>
      <c r="Q18" s="157"/>
      <c r="R18" s="157"/>
      <c r="S18" s="157"/>
    </row>
    <row r="19" spans="1:19" x14ac:dyDescent="0.2">
      <c r="A19" s="222"/>
      <c r="B19" s="222"/>
      <c r="C19" s="183" t="s">
        <v>704</v>
      </c>
      <c r="D19" s="184"/>
      <c r="E19" s="185">
        <f>SUM(E12:E18)</f>
        <v>7184.75</v>
      </c>
      <c r="F19" s="185">
        <f t="shared" ref="F19:I19" si="3">SUM(F12:F18)</f>
        <v>7505.71</v>
      </c>
      <c r="G19" s="185">
        <f t="shared" si="3"/>
        <v>20894.88</v>
      </c>
      <c r="H19" s="185">
        <f t="shared" si="3"/>
        <v>9675</v>
      </c>
      <c r="I19" s="185">
        <f t="shared" si="3"/>
        <v>42000</v>
      </c>
      <c r="J19" s="185">
        <f t="shared" si="1"/>
        <v>32325</v>
      </c>
      <c r="K19" s="186">
        <f t="shared" si="2"/>
        <v>3.3410852713178296</v>
      </c>
      <c r="L19" s="185">
        <f>SUM(L12:L18)</f>
        <v>0</v>
      </c>
      <c r="M19" s="185">
        <f t="shared" ref="M19:O19" si="4">SUM(M12:M18)</f>
        <v>0</v>
      </c>
      <c r="N19" s="185">
        <f t="shared" si="4"/>
        <v>0</v>
      </c>
      <c r="O19" s="185">
        <f t="shared" si="4"/>
        <v>3000</v>
      </c>
      <c r="P19" s="187"/>
      <c r="Q19" s="157"/>
      <c r="R19" s="157"/>
      <c r="S19" s="157"/>
    </row>
    <row r="20" spans="1:19" ht="7.5" customHeight="1" thickBot="1" x14ac:dyDescent="0.25">
      <c r="A20" s="188"/>
      <c r="B20" s="188"/>
      <c r="C20" s="189"/>
      <c r="D20" s="190"/>
      <c r="E20" s="189"/>
      <c r="F20" s="189"/>
      <c r="G20" s="189"/>
      <c r="H20" s="189"/>
      <c r="I20" s="191"/>
      <c r="J20" s="191"/>
      <c r="K20" s="191"/>
      <c r="L20" s="191"/>
      <c r="M20" s="191"/>
      <c r="N20" s="191"/>
      <c r="O20" s="191"/>
      <c r="P20" s="192"/>
      <c r="Q20" s="157"/>
      <c r="R20" s="157"/>
      <c r="S20" s="157"/>
    </row>
    <row r="21" spans="1:19" s="157" customFormat="1" ht="51.75" thickBot="1" x14ac:dyDescent="0.25">
      <c r="A21" s="293" t="s">
        <v>811</v>
      </c>
      <c r="B21" s="316" t="s">
        <v>812</v>
      </c>
      <c r="C21" s="229" t="s">
        <v>633</v>
      </c>
      <c r="D21" s="249"/>
      <c r="E21" s="295" t="s">
        <v>749</v>
      </c>
      <c r="F21" s="234" t="s">
        <v>750</v>
      </c>
      <c r="G21" s="234" t="s">
        <v>751</v>
      </c>
      <c r="H21" s="294" t="s">
        <v>747</v>
      </c>
      <c r="I21" s="234" t="s">
        <v>748</v>
      </c>
      <c r="J21" s="234" t="s">
        <v>745</v>
      </c>
      <c r="K21" s="295" t="s">
        <v>641</v>
      </c>
      <c r="L21" s="231" t="s">
        <v>642</v>
      </c>
      <c r="M21" s="231" t="s">
        <v>643</v>
      </c>
      <c r="N21" s="230" t="s">
        <v>644</v>
      </c>
      <c r="O21" s="294" t="s">
        <v>746</v>
      </c>
      <c r="P21" s="168" t="s">
        <v>969</v>
      </c>
    </row>
    <row r="22" spans="1:19" ht="31.5" customHeight="1" x14ac:dyDescent="0.2">
      <c r="A22" s="193" t="s">
        <v>432</v>
      </c>
      <c r="B22" s="318">
        <v>702106</v>
      </c>
      <c r="C22" s="194" t="s">
        <v>431</v>
      </c>
      <c r="D22" s="195"/>
      <c r="E22" s="196">
        <v>60303.5</v>
      </c>
      <c r="F22" s="196">
        <v>42283.5</v>
      </c>
      <c r="G22" s="196">
        <v>59515</v>
      </c>
      <c r="H22" s="196">
        <v>55000</v>
      </c>
      <c r="I22" s="196">
        <v>55000</v>
      </c>
      <c r="J22" s="197">
        <f t="shared" ref="J22:J49" si="5">I22-H22</f>
        <v>0</v>
      </c>
      <c r="K22" s="198">
        <f t="shared" ref="K22:K49" si="6">(I22-H22)/H22</f>
        <v>0</v>
      </c>
      <c r="L22" s="196"/>
      <c r="M22" s="196"/>
      <c r="N22" s="196"/>
      <c r="O22" s="196"/>
      <c r="P22" s="199"/>
    </row>
    <row r="23" spans="1:19" ht="31.5" customHeight="1" x14ac:dyDescent="0.2">
      <c r="A23" s="193" t="s">
        <v>416</v>
      </c>
      <c r="B23" s="318">
        <v>702200</v>
      </c>
      <c r="C23" s="194" t="s">
        <v>11</v>
      </c>
      <c r="D23" s="195"/>
      <c r="E23" s="196">
        <v>3219.48</v>
      </c>
      <c r="F23" s="196">
        <v>9384.4600000000009</v>
      </c>
      <c r="G23" s="196">
        <v>0</v>
      </c>
      <c r="H23" s="196">
        <v>564</v>
      </c>
      <c r="I23" s="196">
        <v>6700</v>
      </c>
      <c r="J23" s="197">
        <f t="shared" si="5"/>
        <v>6136</v>
      </c>
      <c r="K23" s="198">
        <f t="shared" si="6"/>
        <v>10.879432624113475</v>
      </c>
      <c r="L23" s="196"/>
      <c r="M23" s="196"/>
      <c r="N23" s="196"/>
      <c r="O23" s="196"/>
      <c r="P23" s="199"/>
    </row>
    <row r="24" spans="1:19" ht="31.5" customHeight="1" x14ac:dyDescent="0.2">
      <c r="A24" s="193" t="s">
        <v>393</v>
      </c>
      <c r="B24" s="318">
        <v>701403</v>
      </c>
      <c r="C24" s="194" t="s">
        <v>392</v>
      </c>
      <c r="D24" s="195"/>
      <c r="E24" s="196">
        <v>0</v>
      </c>
      <c r="F24" s="196"/>
      <c r="G24" s="196">
        <v>4700</v>
      </c>
      <c r="H24" s="196"/>
      <c r="I24" s="196"/>
      <c r="J24" s="197">
        <f t="shared" si="5"/>
        <v>0</v>
      </c>
      <c r="K24" s="198" t="e">
        <f t="shared" si="6"/>
        <v>#DIV/0!</v>
      </c>
      <c r="L24" s="196"/>
      <c r="M24" s="196"/>
      <c r="N24" s="196"/>
      <c r="O24" s="196"/>
      <c r="P24" s="199"/>
    </row>
    <row r="25" spans="1:19" ht="31.5" customHeight="1" x14ac:dyDescent="0.2">
      <c r="A25" s="193" t="s">
        <v>349</v>
      </c>
      <c r="B25" s="318">
        <v>705100</v>
      </c>
      <c r="C25" s="194" t="s">
        <v>348</v>
      </c>
      <c r="D25" s="195"/>
      <c r="E25" s="196"/>
      <c r="F25" s="196">
        <v>8.9500000000000011</v>
      </c>
      <c r="G25" s="196"/>
      <c r="H25" s="196"/>
      <c r="I25" s="196">
        <v>1000</v>
      </c>
      <c r="J25" s="197">
        <f t="shared" si="5"/>
        <v>1000</v>
      </c>
      <c r="K25" s="198" t="e">
        <f t="shared" si="6"/>
        <v>#DIV/0!</v>
      </c>
      <c r="L25" s="196"/>
      <c r="M25" s="196"/>
      <c r="N25" s="196"/>
      <c r="O25" s="196"/>
      <c r="P25" s="199"/>
    </row>
    <row r="26" spans="1:19" ht="31.5" customHeight="1" x14ac:dyDescent="0.2">
      <c r="A26" s="193" t="s">
        <v>305</v>
      </c>
      <c r="B26" s="319">
        <v>706200</v>
      </c>
      <c r="C26" s="194" t="s">
        <v>304</v>
      </c>
      <c r="D26" s="195"/>
      <c r="E26" s="196">
        <v>15147.53</v>
      </c>
      <c r="F26" s="196">
        <v>20560.25</v>
      </c>
      <c r="G26" s="196">
        <v>17842.32</v>
      </c>
      <c r="H26" s="196">
        <v>4000</v>
      </c>
      <c r="I26" s="196">
        <v>4000</v>
      </c>
      <c r="J26" s="197">
        <f t="shared" si="5"/>
        <v>0</v>
      </c>
      <c r="K26" s="198">
        <f t="shared" si="6"/>
        <v>0</v>
      </c>
      <c r="L26" s="196"/>
      <c r="M26" s="196"/>
      <c r="N26" s="196"/>
      <c r="O26" s="196"/>
      <c r="P26" s="199"/>
    </row>
    <row r="27" spans="1:19" ht="31.5" customHeight="1" x14ac:dyDescent="0.2">
      <c r="A27" s="193" t="s">
        <v>303</v>
      </c>
      <c r="B27" s="319">
        <v>706200</v>
      </c>
      <c r="C27" s="194" t="s">
        <v>302</v>
      </c>
      <c r="D27" s="195"/>
      <c r="E27" s="196">
        <v>11000</v>
      </c>
      <c r="F27" s="196">
        <v>12512.5</v>
      </c>
      <c r="G27" s="196">
        <v>7185</v>
      </c>
      <c r="H27" s="196">
        <v>10000</v>
      </c>
      <c r="I27" s="196">
        <f>22000-4000</f>
        <v>18000</v>
      </c>
      <c r="J27" s="197">
        <f t="shared" si="5"/>
        <v>8000</v>
      </c>
      <c r="K27" s="198">
        <f t="shared" si="6"/>
        <v>0.8</v>
      </c>
      <c r="L27" s="196"/>
      <c r="M27" s="196"/>
      <c r="N27" s="196"/>
      <c r="O27" s="196">
        <v>1000</v>
      </c>
      <c r="P27" s="199"/>
    </row>
    <row r="28" spans="1:19" ht="31.5" customHeight="1" x14ac:dyDescent="0.2">
      <c r="A28" s="193" t="s">
        <v>299</v>
      </c>
      <c r="B28" s="319">
        <v>706203</v>
      </c>
      <c r="C28" s="194" t="s">
        <v>12</v>
      </c>
      <c r="D28" s="195"/>
      <c r="E28" s="196">
        <v>120</v>
      </c>
      <c r="F28" s="196"/>
      <c r="G28" s="196">
        <v>3133.33</v>
      </c>
      <c r="H28" s="196">
        <f>126+6267</f>
        <v>6393</v>
      </c>
      <c r="I28" s="196">
        <f>500+1050</f>
        <v>1550</v>
      </c>
      <c r="J28" s="197">
        <f t="shared" si="5"/>
        <v>-4843</v>
      </c>
      <c r="K28" s="198">
        <f t="shared" si="6"/>
        <v>-0.75754731737838266</v>
      </c>
      <c r="L28" s="196"/>
      <c r="M28" s="196"/>
      <c r="N28" s="196"/>
      <c r="O28" s="196"/>
      <c r="P28" s="199"/>
    </row>
    <row r="29" spans="1:19" ht="31.5" customHeight="1" x14ac:dyDescent="0.2">
      <c r="A29" s="193" t="s">
        <v>298</v>
      </c>
      <c r="B29" s="319">
        <v>706204</v>
      </c>
      <c r="C29" s="194" t="s">
        <v>297</v>
      </c>
      <c r="D29" s="195"/>
      <c r="E29" s="196">
        <v>3383.41</v>
      </c>
      <c r="F29" s="196">
        <v>3667.96</v>
      </c>
      <c r="G29" s="196">
        <v>15510.960000000001</v>
      </c>
      <c r="H29" s="196">
        <v>5462</v>
      </c>
      <c r="I29" s="196">
        <v>16175</v>
      </c>
      <c r="J29" s="197">
        <f t="shared" si="5"/>
        <v>10713</v>
      </c>
      <c r="K29" s="198">
        <f t="shared" si="6"/>
        <v>1.9613694617356279</v>
      </c>
      <c r="L29" s="196"/>
      <c r="M29" s="196"/>
      <c r="N29" s="196"/>
      <c r="O29" s="196"/>
      <c r="P29" s="199"/>
    </row>
    <row r="30" spans="1:19" ht="31.5" customHeight="1" x14ac:dyDescent="0.2">
      <c r="A30" s="193" t="s">
        <v>296</v>
      </c>
      <c r="B30" s="319">
        <v>706300</v>
      </c>
      <c r="C30" s="194" t="s">
        <v>295</v>
      </c>
      <c r="D30" s="195"/>
      <c r="E30" s="196">
        <v>2114.67</v>
      </c>
      <c r="F30" s="196">
        <v>2344.94</v>
      </c>
      <c r="G30" s="196">
        <v>1641.02</v>
      </c>
      <c r="H30" s="196"/>
      <c r="I30" s="196"/>
      <c r="J30" s="197">
        <f t="shared" si="5"/>
        <v>0</v>
      </c>
      <c r="K30" s="198" t="e">
        <f t="shared" si="6"/>
        <v>#DIV/0!</v>
      </c>
      <c r="L30" s="196"/>
      <c r="M30" s="196"/>
      <c r="N30" s="196"/>
      <c r="O30" s="196"/>
      <c r="P30" s="199"/>
    </row>
    <row r="31" spans="1:19" ht="31.5" customHeight="1" x14ac:dyDescent="0.2">
      <c r="A31" s="193" t="s">
        <v>292</v>
      </c>
      <c r="B31" s="319">
        <v>706300</v>
      </c>
      <c r="C31" s="194" t="s">
        <v>13</v>
      </c>
      <c r="D31" s="195"/>
      <c r="E31" s="196">
        <v>814.41</v>
      </c>
      <c r="F31" s="196">
        <v>1829.3</v>
      </c>
      <c r="G31" s="196">
        <v>692.17</v>
      </c>
      <c r="H31" s="196">
        <v>6938</v>
      </c>
      <c r="I31" s="196">
        <v>4000</v>
      </c>
      <c r="J31" s="197">
        <f t="shared" si="5"/>
        <v>-2938</v>
      </c>
      <c r="K31" s="198">
        <f t="shared" si="6"/>
        <v>-0.42346497549726148</v>
      </c>
      <c r="L31" s="196"/>
      <c r="M31" s="196"/>
      <c r="N31" s="196"/>
      <c r="O31" s="196"/>
      <c r="P31" s="199"/>
    </row>
    <row r="32" spans="1:19" ht="31.5" customHeight="1" x14ac:dyDescent="0.2">
      <c r="A32" s="193" t="s">
        <v>291</v>
      </c>
      <c r="B32" s="319">
        <v>706301</v>
      </c>
      <c r="C32" s="194" t="s">
        <v>290</v>
      </c>
      <c r="D32" s="195"/>
      <c r="E32" s="196"/>
      <c r="F32" s="196">
        <v>2500</v>
      </c>
      <c r="G32" s="196"/>
      <c r="H32" s="196"/>
      <c r="I32" s="196"/>
      <c r="J32" s="197">
        <f t="shared" si="5"/>
        <v>0</v>
      </c>
      <c r="K32" s="198" t="e">
        <f t="shared" si="6"/>
        <v>#DIV/0!</v>
      </c>
      <c r="L32" s="196"/>
      <c r="M32" s="196"/>
      <c r="N32" s="196"/>
      <c r="O32" s="196"/>
      <c r="P32" s="199"/>
    </row>
    <row r="33" spans="1:16" ht="31.5" customHeight="1" x14ac:dyDescent="0.2">
      <c r="A33" s="193" t="s">
        <v>287</v>
      </c>
      <c r="B33" s="319">
        <v>706302</v>
      </c>
      <c r="C33" s="194" t="s">
        <v>14</v>
      </c>
      <c r="D33" s="195"/>
      <c r="E33" s="196">
        <v>105</v>
      </c>
      <c r="F33" s="196">
        <v>91.05</v>
      </c>
      <c r="G33" s="196"/>
      <c r="H33" s="196"/>
      <c r="I33" s="196"/>
      <c r="J33" s="197">
        <f t="shared" si="5"/>
        <v>0</v>
      </c>
      <c r="K33" s="198" t="e">
        <f t="shared" si="6"/>
        <v>#DIV/0!</v>
      </c>
      <c r="L33" s="196"/>
      <c r="M33" s="196"/>
      <c r="N33" s="196"/>
      <c r="O33" s="196"/>
      <c r="P33" s="199"/>
    </row>
    <row r="34" spans="1:16" ht="31.5" customHeight="1" x14ac:dyDescent="0.2">
      <c r="A34" s="193" t="s">
        <v>284</v>
      </c>
      <c r="B34" s="319">
        <v>706400</v>
      </c>
      <c r="C34" s="194" t="s">
        <v>283</v>
      </c>
      <c r="D34" s="195"/>
      <c r="E34" s="196">
        <v>970.96</v>
      </c>
      <c r="F34" s="196"/>
      <c r="G34" s="196"/>
      <c r="H34" s="196"/>
      <c r="I34" s="196"/>
      <c r="J34" s="197">
        <f t="shared" si="5"/>
        <v>0</v>
      </c>
      <c r="K34" s="198" t="e">
        <f t="shared" si="6"/>
        <v>#DIV/0!</v>
      </c>
      <c r="L34" s="196"/>
      <c r="M34" s="196"/>
      <c r="N34" s="196"/>
      <c r="O34" s="196"/>
      <c r="P34" s="199"/>
    </row>
    <row r="35" spans="1:16" ht="31.5" customHeight="1" x14ac:dyDescent="0.2">
      <c r="A35" s="193" t="s">
        <v>280</v>
      </c>
      <c r="B35" s="319">
        <v>706700</v>
      </c>
      <c r="C35" s="194" t="s">
        <v>279</v>
      </c>
      <c r="D35" s="195"/>
      <c r="E35" s="196">
        <v>1216.57</v>
      </c>
      <c r="F35" s="196">
        <v>990.16</v>
      </c>
      <c r="G35" s="196">
        <v>660.83</v>
      </c>
      <c r="H35" s="196"/>
      <c r="I35" s="196">
        <v>2000</v>
      </c>
      <c r="J35" s="197">
        <f t="shared" si="5"/>
        <v>2000</v>
      </c>
      <c r="K35" s="198" t="e">
        <f t="shared" si="6"/>
        <v>#DIV/0!</v>
      </c>
      <c r="L35" s="196"/>
      <c r="M35" s="196"/>
      <c r="N35" s="196"/>
      <c r="O35" s="196"/>
      <c r="P35" s="199"/>
    </row>
    <row r="36" spans="1:16" ht="31.5" customHeight="1" x14ac:dyDescent="0.2">
      <c r="A36" s="193" t="s">
        <v>278</v>
      </c>
      <c r="B36" s="319">
        <v>706700</v>
      </c>
      <c r="C36" s="194" t="s">
        <v>277</v>
      </c>
      <c r="D36" s="195"/>
      <c r="E36" s="196"/>
      <c r="F36" s="196"/>
      <c r="G36" s="196">
        <v>0</v>
      </c>
      <c r="H36" s="196"/>
      <c r="I36" s="196"/>
      <c r="J36" s="197">
        <f t="shared" si="5"/>
        <v>0</v>
      </c>
      <c r="K36" s="198" t="e">
        <f t="shared" si="6"/>
        <v>#DIV/0!</v>
      </c>
      <c r="L36" s="196"/>
      <c r="M36" s="196"/>
      <c r="N36" s="196"/>
      <c r="O36" s="196"/>
      <c r="P36" s="199"/>
    </row>
    <row r="37" spans="1:16" ht="31.5" customHeight="1" x14ac:dyDescent="0.2">
      <c r="A37" s="193" t="s">
        <v>276</v>
      </c>
      <c r="B37" s="319">
        <v>706605</v>
      </c>
      <c r="C37" s="194" t="s">
        <v>275</v>
      </c>
      <c r="D37" s="195"/>
      <c r="E37" s="196">
        <v>99852.510000000009</v>
      </c>
      <c r="F37" s="196">
        <v>106045.56</v>
      </c>
      <c r="G37" s="196">
        <v>95236.25</v>
      </c>
      <c r="H37" s="196">
        <f>95382+7500</f>
        <v>102882</v>
      </c>
      <c r="I37" s="196">
        <v>103066</v>
      </c>
      <c r="J37" s="197">
        <f t="shared" si="5"/>
        <v>184</v>
      </c>
      <c r="K37" s="198">
        <f t="shared" si="6"/>
        <v>1.7884566785249119E-3</v>
      </c>
      <c r="L37" s="196"/>
      <c r="M37" s="196"/>
      <c r="N37" s="196"/>
      <c r="O37" s="196">
        <v>3000</v>
      </c>
      <c r="P37" s="199"/>
    </row>
    <row r="38" spans="1:16" ht="31.5" customHeight="1" x14ac:dyDescent="0.2">
      <c r="A38" s="193" t="s">
        <v>274</v>
      </c>
      <c r="B38" s="193">
        <v>706605</v>
      </c>
      <c r="C38" s="194" t="s">
        <v>273</v>
      </c>
      <c r="D38" s="195"/>
      <c r="E38" s="196">
        <v>2209.8200000000002</v>
      </c>
      <c r="F38" s="196">
        <v>1778.04</v>
      </c>
      <c r="G38" s="196">
        <v>1017.4</v>
      </c>
      <c r="H38" s="196"/>
      <c r="I38" s="196"/>
      <c r="J38" s="197">
        <f t="shared" si="5"/>
        <v>0</v>
      </c>
      <c r="K38" s="198" t="e">
        <f t="shared" si="6"/>
        <v>#DIV/0!</v>
      </c>
      <c r="L38" s="196"/>
      <c r="M38" s="196"/>
      <c r="N38" s="196"/>
      <c r="O38" s="196"/>
      <c r="P38" s="199"/>
    </row>
    <row r="39" spans="1:16" ht="31.5" customHeight="1" x14ac:dyDescent="0.2">
      <c r="A39" s="193" t="s">
        <v>230</v>
      </c>
      <c r="B39" s="318">
        <v>707151</v>
      </c>
      <c r="C39" s="194" t="s">
        <v>15</v>
      </c>
      <c r="D39" s="195"/>
      <c r="E39" s="196">
        <v>326.52</v>
      </c>
      <c r="F39" s="196">
        <v>282.62</v>
      </c>
      <c r="G39" s="196">
        <v>264</v>
      </c>
      <c r="H39" s="196">
        <f>22*12</f>
        <v>264</v>
      </c>
      <c r="I39" s="196">
        <v>264</v>
      </c>
      <c r="J39" s="197">
        <f t="shared" si="5"/>
        <v>0</v>
      </c>
      <c r="K39" s="198">
        <f t="shared" si="6"/>
        <v>0</v>
      </c>
      <c r="L39" s="196"/>
      <c r="M39" s="196"/>
      <c r="N39" s="196"/>
      <c r="O39" s="196"/>
      <c r="P39" s="199"/>
    </row>
    <row r="40" spans="1:16" ht="31.5" customHeight="1" x14ac:dyDescent="0.2">
      <c r="A40" s="193" t="s">
        <v>229</v>
      </c>
      <c r="B40" s="318">
        <v>707151</v>
      </c>
      <c r="C40" s="194" t="s">
        <v>16</v>
      </c>
      <c r="D40" s="195"/>
      <c r="E40" s="196">
        <v>6.41</v>
      </c>
      <c r="F40" s="196">
        <v>3.3000000000000003</v>
      </c>
      <c r="G40" s="196">
        <v>1.31</v>
      </c>
      <c r="H40" s="196">
        <v>5</v>
      </c>
      <c r="I40" s="196">
        <v>5</v>
      </c>
      <c r="J40" s="197">
        <f t="shared" si="5"/>
        <v>0</v>
      </c>
      <c r="K40" s="198">
        <f t="shared" si="6"/>
        <v>0</v>
      </c>
      <c r="L40" s="196"/>
      <c r="M40" s="196"/>
      <c r="N40" s="196"/>
      <c r="O40" s="196"/>
      <c r="P40" s="199"/>
    </row>
    <row r="41" spans="1:16" ht="31.5" customHeight="1" x14ac:dyDescent="0.2">
      <c r="A41" s="193" t="s">
        <v>211</v>
      </c>
      <c r="B41" s="318">
        <v>707502</v>
      </c>
      <c r="C41" s="194" t="s">
        <v>210</v>
      </c>
      <c r="D41" s="195"/>
      <c r="E41" s="196">
        <v>18240</v>
      </c>
      <c r="F41" s="196">
        <v>1869</v>
      </c>
      <c r="G41" s="196"/>
      <c r="H41" s="196"/>
      <c r="I41" s="196"/>
      <c r="J41" s="197">
        <f t="shared" si="5"/>
        <v>0</v>
      </c>
      <c r="K41" s="198" t="e">
        <f t="shared" si="6"/>
        <v>#DIV/0!</v>
      </c>
      <c r="L41" s="196"/>
      <c r="M41" s="196"/>
      <c r="N41" s="196"/>
      <c r="O41" s="196"/>
      <c r="P41" s="199"/>
    </row>
    <row r="42" spans="1:16" ht="31.5" customHeight="1" x14ac:dyDescent="0.2">
      <c r="A42" s="193" t="s">
        <v>196</v>
      </c>
      <c r="B42" s="318">
        <v>707309</v>
      </c>
      <c r="C42" s="194" t="s">
        <v>19</v>
      </c>
      <c r="D42" s="195"/>
      <c r="E42" s="196">
        <v>5116.8599999999997</v>
      </c>
      <c r="F42" s="196">
        <v>7390.72</v>
      </c>
      <c r="G42" s="196">
        <v>3054.43</v>
      </c>
      <c r="H42" s="196">
        <v>2500</v>
      </c>
      <c r="I42" s="196">
        <v>1500</v>
      </c>
      <c r="J42" s="197">
        <f t="shared" si="5"/>
        <v>-1000</v>
      </c>
      <c r="K42" s="198">
        <f t="shared" si="6"/>
        <v>-0.4</v>
      </c>
      <c r="L42" s="196"/>
      <c r="M42" s="196"/>
      <c r="N42" s="196"/>
      <c r="O42" s="196"/>
      <c r="P42" s="199"/>
    </row>
    <row r="43" spans="1:16" ht="31.5" customHeight="1" x14ac:dyDescent="0.2">
      <c r="A43" s="193" t="s">
        <v>173</v>
      </c>
      <c r="B43" s="318">
        <v>707450</v>
      </c>
      <c r="C43" s="194" t="s">
        <v>172</v>
      </c>
      <c r="D43" s="195"/>
      <c r="E43" s="196">
        <v>5637.58</v>
      </c>
      <c r="F43" s="196">
        <v>3522.42</v>
      </c>
      <c r="G43" s="196">
        <v>3620.71</v>
      </c>
      <c r="H43" s="196">
        <v>15430</v>
      </c>
      <c r="I43" s="196">
        <v>17380</v>
      </c>
      <c r="J43" s="197">
        <f t="shared" si="5"/>
        <v>1950</v>
      </c>
      <c r="K43" s="198">
        <f t="shared" si="6"/>
        <v>0.12637718729747247</v>
      </c>
      <c r="L43" s="196"/>
      <c r="M43" s="196"/>
      <c r="N43" s="196"/>
      <c r="O43" s="196">
        <v>1171</v>
      </c>
      <c r="P43" s="199"/>
    </row>
    <row r="44" spans="1:16" ht="31.5" customHeight="1" x14ac:dyDescent="0.2">
      <c r="A44" s="193" t="s">
        <v>101</v>
      </c>
      <c r="B44" s="318">
        <v>708060</v>
      </c>
      <c r="C44" s="194" t="s">
        <v>100</v>
      </c>
      <c r="D44" s="195"/>
      <c r="E44" s="196">
        <v>13064.91</v>
      </c>
      <c r="F44" s="196">
        <v>9722.33</v>
      </c>
      <c r="G44" s="196">
        <v>9722.33</v>
      </c>
      <c r="H44" s="196"/>
      <c r="I44" s="196"/>
      <c r="J44" s="197">
        <f t="shared" si="5"/>
        <v>0</v>
      </c>
      <c r="K44" s="198" t="e">
        <f t="shared" si="6"/>
        <v>#DIV/0!</v>
      </c>
      <c r="L44" s="196"/>
      <c r="M44" s="196"/>
      <c r="N44" s="196"/>
      <c r="O44" s="196"/>
      <c r="P44" s="199"/>
    </row>
    <row r="45" spans="1:16" ht="31.5" customHeight="1" x14ac:dyDescent="0.2">
      <c r="A45" s="193"/>
      <c r="B45" s="193"/>
      <c r="C45" s="194"/>
      <c r="D45" s="195"/>
      <c r="E45" s="196"/>
      <c r="F45" s="196"/>
      <c r="G45" s="196"/>
      <c r="H45" s="196"/>
      <c r="I45" s="196"/>
      <c r="J45" s="197">
        <f t="shared" si="5"/>
        <v>0</v>
      </c>
      <c r="K45" s="198" t="e">
        <f t="shared" si="6"/>
        <v>#DIV/0!</v>
      </c>
      <c r="L45" s="196"/>
      <c r="M45" s="196"/>
      <c r="N45" s="196"/>
      <c r="O45" s="196"/>
      <c r="P45" s="199"/>
    </row>
    <row r="46" spans="1:16" ht="31.5" customHeight="1" x14ac:dyDescent="0.2">
      <c r="A46" s="193"/>
      <c r="B46" s="193"/>
      <c r="C46" s="194"/>
      <c r="D46" s="195"/>
      <c r="E46" s="196"/>
      <c r="F46" s="196"/>
      <c r="G46" s="196"/>
      <c r="H46" s="196"/>
      <c r="I46" s="196"/>
      <c r="J46" s="197">
        <f t="shared" si="5"/>
        <v>0</v>
      </c>
      <c r="K46" s="198" t="e">
        <f t="shared" si="6"/>
        <v>#DIV/0!</v>
      </c>
      <c r="L46" s="196"/>
      <c r="M46" s="196"/>
      <c r="N46" s="196"/>
      <c r="O46" s="196"/>
      <c r="P46" s="199"/>
    </row>
    <row r="47" spans="1:16" ht="31.5" customHeight="1" x14ac:dyDescent="0.2">
      <c r="A47" s="193"/>
      <c r="B47" s="193"/>
      <c r="C47" s="194"/>
      <c r="D47" s="195"/>
      <c r="E47" s="196"/>
      <c r="F47" s="196"/>
      <c r="G47" s="196"/>
      <c r="H47" s="196"/>
      <c r="I47" s="196"/>
      <c r="J47" s="197">
        <f t="shared" si="5"/>
        <v>0</v>
      </c>
      <c r="K47" s="198" t="e">
        <f t="shared" si="6"/>
        <v>#DIV/0!</v>
      </c>
      <c r="L47" s="196"/>
      <c r="M47" s="196"/>
      <c r="N47" s="196"/>
      <c r="O47" s="196"/>
      <c r="P47" s="199"/>
    </row>
    <row r="48" spans="1:16" ht="31.5" customHeight="1" x14ac:dyDescent="0.2">
      <c r="A48" s="193"/>
      <c r="B48" s="193"/>
      <c r="C48" s="194"/>
      <c r="D48" s="195"/>
      <c r="E48" s="196"/>
      <c r="F48" s="196"/>
      <c r="G48" s="196"/>
      <c r="H48" s="196"/>
      <c r="I48" s="196"/>
      <c r="J48" s="197">
        <f t="shared" si="5"/>
        <v>0</v>
      </c>
      <c r="K48" s="198" t="e">
        <f t="shared" si="6"/>
        <v>#DIV/0!</v>
      </c>
      <c r="L48" s="196"/>
      <c r="M48" s="196"/>
      <c r="N48" s="196"/>
      <c r="O48" s="196"/>
      <c r="P48" s="199"/>
    </row>
    <row r="49" spans="1:16" ht="13.5" thickBot="1" x14ac:dyDescent="0.25">
      <c r="A49" s="200"/>
      <c r="B49" s="200"/>
      <c r="C49" s="177" t="s">
        <v>22</v>
      </c>
      <c r="D49" s="201"/>
      <c r="E49" s="180">
        <f>SUM(E22:E48)</f>
        <v>242850.14</v>
      </c>
      <c r="F49" s="180">
        <f>SUM(F22:F48)</f>
        <v>226787.06</v>
      </c>
      <c r="G49" s="180">
        <f>SUM(G22:G48)</f>
        <v>223797.05999999997</v>
      </c>
      <c r="H49" s="180">
        <f>SUM(H22:H48)</f>
        <v>209438</v>
      </c>
      <c r="I49" s="180">
        <f>SUM(I22:I48)</f>
        <v>230640</v>
      </c>
      <c r="J49" s="180">
        <f t="shared" si="5"/>
        <v>21202</v>
      </c>
      <c r="K49" s="181">
        <f t="shared" si="6"/>
        <v>0.10123282307890641</v>
      </c>
      <c r="L49" s="180">
        <f>SUM(L22:L48)</f>
        <v>0</v>
      </c>
      <c r="M49" s="180">
        <f t="shared" ref="M49:O49" si="7">SUM(M22:M48)</f>
        <v>0</v>
      </c>
      <c r="N49" s="180">
        <f t="shared" si="7"/>
        <v>0</v>
      </c>
      <c r="O49" s="180">
        <f t="shared" si="7"/>
        <v>5171</v>
      </c>
      <c r="P49" s="202"/>
    </row>
    <row r="50" spans="1:16" ht="13.5" thickBot="1" x14ac:dyDescent="0.25">
      <c r="A50" s="203"/>
      <c r="B50" s="203"/>
      <c r="C50" s="204" t="s">
        <v>702</v>
      </c>
      <c r="D50" s="205"/>
      <c r="E50" s="206">
        <f>E19+E49</f>
        <v>250034.89</v>
      </c>
      <c r="F50" s="206">
        <f>F19+F49</f>
        <v>234292.77</v>
      </c>
      <c r="G50" s="206">
        <f>G19+G49</f>
        <v>244691.93999999997</v>
      </c>
      <c r="H50" s="206">
        <f>H19+H49</f>
        <v>219113</v>
      </c>
      <c r="I50" s="206">
        <f>I19+I49</f>
        <v>272640</v>
      </c>
      <c r="J50" s="206">
        <f>I50-H50</f>
        <v>53527</v>
      </c>
      <c r="K50" s="207">
        <f>(I50-H50)/H50</f>
        <v>0.24428947620634103</v>
      </c>
      <c r="L50" s="206">
        <f>L19+L49</f>
        <v>0</v>
      </c>
      <c r="M50" s="206">
        <f>M19+M49</f>
        <v>0</v>
      </c>
      <c r="N50" s="206">
        <f>N19+N49</f>
        <v>0</v>
      </c>
      <c r="O50" s="206">
        <f>O19+O49</f>
        <v>8171</v>
      </c>
      <c r="P50" s="208"/>
    </row>
    <row r="51" spans="1:16" x14ac:dyDescent="0.2">
      <c r="A51" s="203"/>
      <c r="B51" s="203"/>
      <c r="C51" s="209" t="s">
        <v>698</v>
      </c>
      <c r="D51" s="210"/>
      <c r="E51" s="211"/>
      <c r="F51" s="211"/>
      <c r="G51" s="211"/>
      <c r="H51" s="212">
        <v>0</v>
      </c>
      <c r="I51" s="213"/>
      <c r="J51" s="213"/>
      <c r="K51" s="214"/>
      <c r="L51" s="213"/>
      <c r="M51" s="213"/>
      <c r="N51" s="213"/>
      <c r="O51" s="213"/>
      <c r="P51" s="215"/>
    </row>
    <row r="52" spans="1:16" x14ac:dyDescent="0.2">
      <c r="A52" s="203"/>
      <c r="B52" s="203"/>
      <c r="C52" s="183" t="s">
        <v>699</v>
      </c>
      <c r="D52" s="184"/>
      <c r="E52" s="216"/>
      <c r="F52" s="216"/>
      <c r="G52" s="216"/>
      <c r="H52" s="185">
        <v>36787</v>
      </c>
      <c r="I52" s="217"/>
      <c r="J52" s="217"/>
      <c r="K52" s="218"/>
      <c r="L52" s="217"/>
      <c r="M52" s="217"/>
      <c r="N52" s="217"/>
      <c r="O52" s="217"/>
      <c r="P52" s="219"/>
    </row>
    <row r="53" spans="1:16" x14ac:dyDescent="0.2">
      <c r="A53" s="203"/>
      <c r="B53" s="203"/>
      <c r="C53" s="183" t="s">
        <v>700</v>
      </c>
      <c r="D53" s="184"/>
      <c r="E53" s="216"/>
      <c r="F53" s="216"/>
      <c r="G53" s="216"/>
      <c r="H53" s="220">
        <f>H51-H10</f>
        <v>0</v>
      </c>
      <c r="I53" s="217"/>
      <c r="J53" s="217"/>
      <c r="K53" s="218"/>
      <c r="L53" s="217"/>
      <c r="M53" s="217"/>
      <c r="N53" s="217"/>
      <c r="O53" s="217"/>
      <c r="P53" s="219"/>
    </row>
    <row r="54" spans="1:16" x14ac:dyDescent="0.2">
      <c r="A54" s="221"/>
      <c r="B54" s="221"/>
      <c r="C54" s="183" t="s">
        <v>701</v>
      </c>
      <c r="D54" s="184"/>
      <c r="E54" s="217"/>
      <c r="F54" s="217"/>
      <c r="G54" s="217"/>
      <c r="H54" s="220">
        <f>H52-H50</f>
        <v>-182326</v>
      </c>
      <c r="I54" s="217"/>
      <c r="J54" s="217"/>
      <c r="K54" s="218"/>
      <c r="L54" s="217"/>
      <c r="M54" s="217"/>
      <c r="N54" s="217"/>
      <c r="O54" s="217"/>
      <c r="P54" s="219"/>
    </row>
    <row r="56" spans="1:16" s="157" customFormat="1" ht="27" customHeight="1" thickBot="1" x14ac:dyDescent="0.25">
      <c r="A56" s="158" t="s">
        <v>687</v>
      </c>
      <c r="B56" s="158" t="s">
        <v>687</v>
      </c>
      <c r="M56" s="406" t="s">
        <v>690</v>
      </c>
      <c r="N56" s="406"/>
      <c r="O56" s="406"/>
    </row>
    <row r="57" spans="1:16" s="157" customFormat="1" ht="51.75" thickBot="1" x14ac:dyDescent="0.25">
      <c r="A57" s="225"/>
      <c r="B57" s="225"/>
      <c r="C57" s="229" t="s">
        <v>633</v>
      </c>
      <c r="D57" s="249"/>
      <c r="E57" s="234" t="s">
        <v>749</v>
      </c>
      <c r="F57" s="234" t="s">
        <v>750</v>
      </c>
      <c r="G57" s="234" t="s">
        <v>751</v>
      </c>
      <c r="H57" s="294" t="s">
        <v>747</v>
      </c>
      <c r="I57" s="234" t="s">
        <v>748</v>
      </c>
      <c r="J57" s="234" t="s">
        <v>745</v>
      </c>
      <c r="K57" s="295" t="s">
        <v>641</v>
      </c>
      <c r="M57" s="145"/>
      <c r="N57" s="145" t="s">
        <v>693</v>
      </c>
      <c r="O57" s="145" t="s">
        <v>694</v>
      </c>
    </row>
    <row r="58" spans="1:16" s="157" customFormat="1" x14ac:dyDescent="0.2">
      <c r="A58" s="225"/>
      <c r="B58" s="225"/>
      <c r="C58" s="194" t="s">
        <v>688</v>
      </c>
      <c r="D58" s="195"/>
      <c r="E58" s="226"/>
      <c r="F58" s="226"/>
      <c r="G58" s="226"/>
      <c r="H58" s="226"/>
      <c r="I58" s="226"/>
      <c r="J58" s="227">
        <f>I58-H58</f>
        <v>0</v>
      </c>
      <c r="K58" s="228" t="e">
        <f>(I58-H58)/H58</f>
        <v>#DIV/0!</v>
      </c>
      <c r="M58" s="146" t="s">
        <v>691</v>
      </c>
      <c r="N58" s="146">
        <v>2</v>
      </c>
      <c r="O58" s="146">
        <v>1</v>
      </c>
    </row>
    <row r="59" spans="1:16" s="157" customFormat="1" x14ac:dyDescent="0.2">
      <c r="M59" s="146" t="s">
        <v>692</v>
      </c>
      <c r="N59" s="146"/>
      <c r="O59" s="146"/>
    </row>
    <row r="60" spans="1:16" s="157" customFormat="1" x14ac:dyDescent="0.2">
      <c r="M60" s="146" t="s">
        <v>23</v>
      </c>
      <c r="N60" s="146">
        <f>SUM(N58:N59)</f>
        <v>2</v>
      </c>
      <c r="O60" s="146">
        <f>SUM(O58:O59)</f>
        <v>1</v>
      </c>
    </row>
    <row r="61" spans="1:16" s="157" customFormat="1" x14ac:dyDescent="0.2"/>
    <row r="62" spans="1:16" s="157" customFormat="1" x14ac:dyDescent="0.2"/>
    <row r="63" spans="1:16" s="157" customFormat="1" x14ac:dyDescent="0.2"/>
  </sheetData>
  <mergeCells count="2">
    <mergeCell ref="L3:N3"/>
    <mergeCell ref="M56:O56"/>
  </mergeCells>
  <pageMargins left="0.25" right="0.25" top="0.67708333333333304" bottom="0.35416666666666702" header="0.3" footer="0.3"/>
  <pageSetup paperSize="5" scale="70" orientation="landscape" r:id="rId1"/>
  <headerFooter>
    <oddHeader>&amp;C&amp;"Calibri,Bold"&amp;A</oddHeader>
    <oddFooter>&amp;Rprinted:  &amp;D&amp;T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1"/>
  <sheetViews>
    <sheetView showGridLines="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828</v>
      </c>
      <c r="O1" s="164"/>
    </row>
    <row r="2" spans="1:19" ht="23.25" customHeight="1" thickBot="1" x14ac:dyDescent="0.3">
      <c r="A2" s="290" t="s">
        <v>810</v>
      </c>
      <c r="B2" s="232"/>
      <c r="C2" s="292" t="s">
        <v>829</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95775.81+96077.09</f>
        <v>191852.9</v>
      </c>
      <c r="F6" s="171">
        <f>96140.61+96509.72</f>
        <v>192650.33000000002</v>
      </c>
      <c r="G6" s="171">
        <f>94667.04+95030.58</f>
        <v>189697.62</v>
      </c>
      <c r="H6" s="171">
        <f>SUM('FT Salaries'!E22)</f>
        <v>192650.32926400003</v>
      </c>
      <c r="I6" s="171">
        <f>SUM(H6)</f>
        <v>192650.32926400003</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191852.9</v>
      </c>
      <c r="F8" s="179">
        <f>SUM(F6:F7)</f>
        <v>192650.33000000002</v>
      </c>
      <c r="G8" s="179">
        <f>SUM(G6:G7)</f>
        <v>189697.62</v>
      </c>
      <c r="H8" s="179">
        <f>SUM(H6:H7)</f>
        <v>192650.32926400003</v>
      </c>
      <c r="I8" s="179">
        <f>SUM(I6:I7)</f>
        <v>192650.32926400003</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v>612110</v>
      </c>
      <c r="B10" s="169">
        <v>601302</v>
      </c>
      <c r="C10" s="146" t="s">
        <v>600</v>
      </c>
      <c r="D10" s="170"/>
      <c r="E10" s="171">
        <v>15749.13</v>
      </c>
      <c r="F10" s="171">
        <v>54926.04</v>
      </c>
      <c r="G10" s="171">
        <v>23854.68</v>
      </c>
      <c r="H10" s="171"/>
      <c r="I10" s="172"/>
      <c r="J10" s="173">
        <f t="shared" ref="J10:J17"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ht="25.5" x14ac:dyDescent="0.2">
      <c r="A12" s="169" t="s">
        <v>599</v>
      </c>
      <c r="B12" s="318">
        <v>601300</v>
      </c>
      <c r="C12" s="146" t="s">
        <v>598</v>
      </c>
      <c r="D12" s="170"/>
      <c r="E12" s="171">
        <v>31264</v>
      </c>
      <c r="F12" s="171">
        <v>31264</v>
      </c>
      <c r="G12" s="171">
        <v>65351.040000000001</v>
      </c>
      <c r="H12" s="171">
        <v>85018</v>
      </c>
      <c r="I12" s="172">
        <f>85018+9600</f>
        <v>94618</v>
      </c>
      <c r="J12" s="173">
        <f t="shared" si="1"/>
        <v>9600</v>
      </c>
      <c r="K12" s="174">
        <f t="shared" ref="K12:K17" si="2">(I12-H12)/H12</f>
        <v>0.11291726457926557</v>
      </c>
      <c r="L12" s="172"/>
      <c r="M12" s="175"/>
      <c r="N12" s="175"/>
      <c r="O12" s="175"/>
      <c r="P12" s="147" t="s">
        <v>1071</v>
      </c>
      <c r="Q12" s="157"/>
      <c r="R12" s="157"/>
      <c r="S12" s="157"/>
    </row>
    <row r="13" spans="1:19" ht="25.5" x14ac:dyDescent="0.2">
      <c r="A13" s="169" t="s">
        <v>580</v>
      </c>
      <c r="B13" s="318">
        <v>601305</v>
      </c>
      <c r="C13" s="146" t="s">
        <v>579</v>
      </c>
      <c r="D13" s="170"/>
      <c r="E13" s="171">
        <v>58858.020000000004</v>
      </c>
      <c r="F13" s="171">
        <v>0</v>
      </c>
      <c r="G13" s="171">
        <v>28099.170000000002</v>
      </c>
      <c r="H13" s="171">
        <v>33000</v>
      </c>
      <c r="I13" s="172">
        <f>33000+1000+17000</f>
        <v>51000</v>
      </c>
      <c r="J13" s="173">
        <f t="shared" si="1"/>
        <v>18000</v>
      </c>
      <c r="K13" s="174">
        <f t="shared" si="2"/>
        <v>0.54545454545454541</v>
      </c>
      <c r="L13" s="172"/>
      <c r="M13" s="175"/>
      <c r="N13" s="175"/>
      <c r="O13" s="175"/>
      <c r="P13" s="147" t="s">
        <v>1070</v>
      </c>
      <c r="Q13" s="157"/>
      <c r="R13" s="157"/>
      <c r="S13" s="157"/>
    </row>
    <row r="14" spans="1:19" x14ac:dyDescent="0.2">
      <c r="A14" s="169" t="s">
        <v>578</v>
      </c>
      <c r="B14" s="318">
        <v>601400</v>
      </c>
      <c r="C14" s="146" t="s">
        <v>577</v>
      </c>
      <c r="D14" s="170"/>
      <c r="E14" s="171">
        <v>8734.44</v>
      </c>
      <c r="F14" s="171">
        <v>5104.32</v>
      </c>
      <c r="G14" s="171">
        <v>5187.3599999999997</v>
      </c>
      <c r="H14" s="171">
        <v>7781</v>
      </c>
      <c r="I14" s="172">
        <v>7800</v>
      </c>
      <c r="J14" s="173">
        <f t="shared" si="1"/>
        <v>19</v>
      </c>
      <c r="K14" s="174">
        <f t="shared" si="2"/>
        <v>2.4418455211412415E-3</v>
      </c>
      <c r="L14" s="172"/>
      <c r="M14" s="175"/>
      <c r="N14" s="175"/>
      <c r="O14" s="175"/>
      <c r="P14" s="147"/>
      <c r="Q14" s="157"/>
      <c r="R14" s="157"/>
      <c r="S14" s="157"/>
    </row>
    <row r="15" spans="1:19" x14ac:dyDescent="0.2">
      <c r="A15" s="169" t="s">
        <v>566</v>
      </c>
      <c r="B15" s="318">
        <v>601501</v>
      </c>
      <c r="C15" s="146" t="s">
        <v>565</v>
      </c>
      <c r="D15" s="170"/>
      <c r="E15" s="171"/>
      <c r="F15" s="171">
        <v>43.2</v>
      </c>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222"/>
      <c r="B17" s="222"/>
      <c r="C17" s="183" t="s">
        <v>704</v>
      </c>
      <c r="D17" s="184"/>
      <c r="E17" s="185">
        <f>SUM(E12:E16)</f>
        <v>98856.46</v>
      </c>
      <c r="F17" s="185">
        <f>SUM(F12:F16)</f>
        <v>36411.519999999997</v>
      </c>
      <c r="G17" s="185">
        <f>SUM(G12:G16)</f>
        <v>98637.57</v>
      </c>
      <c r="H17" s="185">
        <f>SUM(H12:H16)</f>
        <v>125799</v>
      </c>
      <c r="I17" s="185">
        <f>SUM(I12:I16)</f>
        <v>153418</v>
      </c>
      <c r="J17" s="185">
        <f t="shared" si="1"/>
        <v>27619</v>
      </c>
      <c r="K17" s="186">
        <f t="shared" si="2"/>
        <v>0.21954864506077154</v>
      </c>
      <c r="L17" s="185">
        <f>SUM(L12:L16)</f>
        <v>0</v>
      </c>
      <c r="M17" s="185">
        <f>SUM(M12:M16)</f>
        <v>0</v>
      </c>
      <c r="N17" s="185">
        <f>SUM(N12:N16)</f>
        <v>0</v>
      </c>
      <c r="O17" s="185">
        <f>SUM(O12:O16)</f>
        <v>0</v>
      </c>
      <c r="P17" s="187"/>
      <c r="Q17" s="157"/>
      <c r="R17" s="157"/>
      <c r="S17" s="157"/>
    </row>
    <row r="18" spans="1:19" ht="7.5" customHeight="1" thickBot="1" x14ac:dyDescent="0.25">
      <c r="A18" s="188"/>
      <c r="B18" s="188"/>
      <c r="C18" s="189"/>
      <c r="D18" s="190"/>
      <c r="E18" s="189"/>
      <c r="F18" s="189"/>
      <c r="G18" s="189"/>
      <c r="H18" s="189"/>
      <c r="I18" s="191"/>
      <c r="J18" s="191"/>
      <c r="K18" s="191"/>
      <c r="L18" s="191"/>
      <c r="M18" s="191"/>
      <c r="N18" s="191"/>
      <c r="O18" s="191"/>
      <c r="P18" s="192"/>
      <c r="Q18" s="157"/>
      <c r="R18" s="157"/>
      <c r="S18" s="157"/>
    </row>
    <row r="19" spans="1:19" s="157" customFormat="1" ht="51.75" thickBot="1" x14ac:dyDescent="0.25">
      <c r="A19" s="293" t="s">
        <v>811</v>
      </c>
      <c r="B19" s="293" t="s">
        <v>812</v>
      </c>
      <c r="C19" s="229" t="s">
        <v>633</v>
      </c>
      <c r="D19" s="249"/>
      <c r="E19" s="295" t="s">
        <v>749</v>
      </c>
      <c r="F19" s="234" t="s">
        <v>750</v>
      </c>
      <c r="G19" s="234" t="s">
        <v>751</v>
      </c>
      <c r="H19" s="294" t="s">
        <v>747</v>
      </c>
      <c r="I19" s="234" t="s">
        <v>748</v>
      </c>
      <c r="J19" s="234" t="s">
        <v>745</v>
      </c>
      <c r="K19" s="295" t="s">
        <v>641</v>
      </c>
      <c r="L19" s="231" t="s">
        <v>642</v>
      </c>
      <c r="M19" s="231" t="s">
        <v>643</v>
      </c>
      <c r="N19" s="230" t="s">
        <v>644</v>
      </c>
      <c r="O19" s="294" t="s">
        <v>746</v>
      </c>
      <c r="P19" s="168" t="s">
        <v>969</v>
      </c>
    </row>
    <row r="20" spans="1:19" ht="31.5" customHeight="1" x14ac:dyDescent="0.2">
      <c r="A20" s="193" t="s">
        <v>416</v>
      </c>
      <c r="B20" s="318">
        <v>702200</v>
      </c>
      <c r="C20" s="194" t="s">
        <v>11</v>
      </c>
      <c r="D20" s="195"/>
      <c r="E20" s="196">
        <v>40.28</v>
      </c>
      <c r="F20" s="196"/>
      <c r="G20" s="196"/>
      <c r="H20" s="196">
        <v>482</v>
      </c>
      <c r="I20" s="196"/>
      <c r="J20" s="197">
        <f t="shared" ref="J20:J47" si="3">I20-H20</f>
        <v>-482</v>
      </c>
      <c r="K20" s="198">
        <f t="shared" ref="K20:K47" si="4">(I20-H20)/H20</f>
        <v>-1</v>
      </c>
      <c r="L20" s="196"/>
      <c r="M20" s="196"/>
      <c r="N20" s="196"/>
      <c r="O20" s="196"/>
      <c r="P20" s="199"/>
    </row>
    <row r="21" spans="1:19" ht="31.5" customHeight="1" x14ac:dyDescent="0.2">
      <c r="A21" s="193" t="s">
        <v>409</v>
      </c>
      <c r="B21" s="318">
        <v>701000</v>
      </c>
      <c r="C21" s="194" t="s">
        <v>408</v>
      </c>
      <c r="D21" s="195"/>
      <c r="E21" s="196">
        <v>118.75</v>
      </c>
      <c r="F21" s="196"/>
      <c r="G21" s="196"/>
      <c r="H21" s="196"/>
      <c r="I21" s="196">
        <v>150</v>
      </c>
      <c r="J21" s="197">
        <f t="shared" si="3"/>
        <v>150</v>
      </c>
      <c r="K21" s="198" t="e">
        <f t="shared" si="4"/>
        <v>#DIV/0!</v>
      </c>
      <c r="L21" s="196"/>
      <c r="M21" s="196"/>
      <c r="N21" s="196"/>
      <c r="O21" s="196"/>
      <c r="P21" s="199"/>
    </row>
    <row r="22" spans="1:19" ht="31.5" customHeight="1" x14ac:dyDescent="0.2">
      <c r="A22" s="193" t="s">
        <v>407</v>
      </c>
      <c r="B22" s="318">
        <v>701001</v>
      </c>
      <c r="C22" s="194" t="s">
        <v>406</v>
      </c>
      <c r="D22" s="195"/>
      <c r="E22" s="196">
        <v>179.1</v>
      </c>
      <c r="F22" s="196"/>
      <c r="G22" s="196"/>
      <c r="H22" s="196">
        <v>125</v>
      </c>
      <c r="I22" s="196"/>
      <c r="J22" s="197">
        <f t="shared" si="3"/>
        <v>-125</v>
      </c>
      <c r="K22" s="198">
        <f t="shared" si="4"/>
        <v>-1</v>
      </c>
      <c r="L22" s="196"/>
      <c r="M22" s="196"/>
      <c r="N22" s="196"/>
      <c r="O22" s="196"/>
      <c r="P22" s="199"/>
    </row>
    <row r="23" spans="1:19" ht="31.5" customHeight="1" x14ac:dyDescent="0.2">
      <c r="A23" s="193" t="s">
        <v>399</v>
      </c>
      <c r="B23" s="318">
        <v>701100</v>
      </c>
      <c r="C23" s="194" t="s">
        <v>398</v>
      </c>
      <c r="D23" s="195"/>
      <c r="E23" s="196">
        <v>1904.5</v>
      </c>
      <c r="F23" s="196">
        <v>1480.24</v>
      </c>
      <c r="G23" s="196">
        <v>1718.71</v>
      </c>
      <c r="H23" s="196">
        <v>1581</v>
      </c>
      <c r="I23" s="196">
        <v>1800</v>
      </c>
      <c r="J23" s="197">
        <f t="shared" si="3"/>
        <v>219</v>
      </c>
      <c r="K23" s="198">
        <f t="shared" si="4"/>
        <v>0.13851992409867173</v>
      </c>
      <c r="L23" s="196"/>
      <c r="M23" s="196"/>
      <c r="N23" s="196"/>
      <c r="O23" s="196"/>
      <c r="P23" s="199"/>
    </row>
    <row r="24" spans="1:19" ht="31.5" customHeight="1" x14ac:dyDescent="0.2">
      <c r="A24" s="193" t="s">
        <v>391</v>
      </c>
      <c r="B24" s="319">
        <v>701302</v>
      </c>
      <c r="C24" s="194" t="s">
        <v>390</v>
      </c>
      <c r="D24" s="195"/>
      <c r="E24" s="196">
        <v>16900</v>
      </c>
      <c r="F24" s="196">
        <v>16300</v>
      </c>
      <c r="G24" s="196">
        <v>16300</v>
      </c>
      <c r="H24" s="196">
        <v>18500</v>
      </c>
      <c r="I24" s="196">
        <v>20500</v>
      </c>
      <c r="J24" s="197">
        <f t="shared" si="3"/>
        <v>2000</v>
      </c>
      <c r="K24" s="198">
        <f t="shared" si="4"/>
        <v>0.10810810810810811</v>
      </c>
      <c r="L24" s="196"/>
      <c r="M24" s="196"/>
      <c r="N24" s="196"/>
      <c r="O24" s="196"/>
      <c r="P24" s="199" t="s">
        <v>1072</v>
      </c>
    </row>
    <row r="25" spans="1:19" ht="31.5" customHeight="1" x14ac:dyDescent="0.2">
      <c r="A25" s="193" t="s">
        <v>379</v>
      </c>
      <c r="B25" s="318">
        <v>701405</v>
      </c>
      <c r="C25" s="194" t="s">
        <v>378</v>
      </c>
      <c r="D25" s="195"/>
      <c r="E25" s="196">
        <v>0</v>
      </c>
      <c r="F25" s="196"/>
      <c r="G25" s="196">
        <v>199</v>
      </c>
      <c r="H25" s="196"/>
      <c r="I25" s="196"/>
      <c r="J25" s="197">
        <f t="shared" si="3"/>
        <v>0</v>
      </c>
      <c r="K25" s="198" t="e">
        <f t="shared" si="4"/>
        <v>#DIV/0!</v>
      </c>
      <c r="L25" s="196"/>
      <c r="M25" s="196"/>
      <c r="N25" s="196"/>
      <c r="O25" s="196"/>
      <c r="P25" s="199"/>
    </row>
    <row r="26" spans="1:19" ht="31.5" customHeight="1" x14ac:dyDescent="0.2">
      <c r="A26" s="193" t="s">
        <v>377</v>
      </c>
      <c r="B26" s="318">
        <v>701500</v>
      </c>
      <c r="C26" s="194" t="s">
        <v>376</v>
      </c>
      <c r="D26" s="195"/>
      <c r="E26" s="196">
        <v>1342</v>
      </c>
      <c r="F26" s="196">
        <v>1397</v>
      </c>
      <c r="G26" s="196">
        <v>1977</v>
      </c>
      <c r="H26" s="196">
        <v>2000</v>
      </c>
      <c r="I26" s="196">
        <v>2290</v>
      </c>
      <c r="J26" s="197">
        <f t="shared" si="3"/>
        <v>290</v>
      </c>
      <c r="K26" s="198">
        <f t="shared" si="4"/>
        <v>0.14499999999999999</v>
      </c>
      <c r="L26" s="196"/>
      <c r="M26" s="196"/>
      <c r="N26" s="196"/>
      <c r="O26" s="196"/>
      <c r="P26" s="199"/>
    </row>
    <row r="27" spans="1:19" ht="31.5" customHeight="1" x14ac:dyDescent="0.2">
      <c r="A27" s="193" t="s">
        <v>361</v>
      </c>
      <c r="B27" s="318">
        <v>705001</v>
      </c>
      <c r="C27" s="194" t="s">
        <v>360</v>
      </c>
      <c r="D27" s="195"/>
      <c r="E27" s="196">
        <v>118</v>
      </c>
      <c r="F27" s="196">
        <v>955.52</v>
      </c>
      <c r="G27" s="196">
        <v>945</v>
      </c>
      <c r="H27" s="196"/>
      <c r="I27" s="196"/>
      <c r="J27" s="197">
        <f t="shared" si="3"/>
        <v>0</v>
      </c>
      <c r="K27" s="198" t="e">
        <f t="shared" si="4"/>
        <v>#DIV/0!</v>
      </c>
      <c r="L27" s="196"/>
      <c r="M27" s="196"/>
      <c r="N27" s="196"/>
      <c r="O27" s="196"/>
      <c r="P27" s="199"/>
    </row>
    <row r="28" spans="1:19" ht="31.5" customHeight="1" x14ac:dyDescent="0.2">
      <c r="A28" s="193" t="s">
        <v>359</v>
      </c>
      <c r="B28" s="318">
        <v>705101</v>
      </c>
      <c r="C28" s="194" t="s">
        <v>358</v>
      </c>
      <c r="D28" s="195"/>
      <c r="E28" s="196">
        <v>542.4</v>
      </c>
      <c r="F28" s="196">
        <v>68.960000000000008</v>
      </c>
      <c r="G28" s="196"/>
      <c r="H28" s="196"/>
      <c r="I28" s="196"/>
      <c r="J28" s="197">
        <f t="shared" si="3"/>
        <v>0</v>
      </c>
      <c r="K28" s="198" t="e">
        <f t="shared" si="4"/>
        <v>#DIV/0!</v>
      </c>
      <c r="L28" s="196"/>
      <c r="M28" s="196"/>
      <c r="N28" s="196"/>
      <c r="O28" s="196"/>
      <c r="P28" s="199"/>
    </row>
    <row r="29" spans="1:19" ht="31.5" customHeight="1" x14ac:dyDescent="0.2">
      <c r="A29" s="193" t="s">
        <v>351</v>
      </c>
      <c r="B29" s="318">
        <v>705000</v>
      </c>
      <c r="C29" s="194" t="s">
        <v>350</v>
      </c>
      <c r="D29" s="195"/>
      <c r="E29" s="196"/>
      <c r="F29" s="196">
        <v>261</v>
      </c>
      <c r="G29" s="196">
        <v>702</v>
      </c>
      <c r="H29" s="196"/>
      <c r="I29" s="196"/>
      <c r="J29" s="197">
        <f t="shared" si="3"/>
        <v>0</v>
      </c>
      <c r="K29" s="198" t="e">
        <f t="shared" si="4"/>
        <v>#DIV/0!</v>
      </c>
      <c r="L29" s="196"/>
      <c r="M29" s="196"/>
      <c r="N29" s="196"/>
      <c r="O29" s="196"/>
      <c r="P29" s="199"/>
    </row>
    <row r="30" spans="1:19" ht="31.5" customHeight="1" x14ac:dyDescent="0.2">
      <c r="A30" s="193" t="s">
        <v>305</v>
      </c>
      <c r="B30" s="319">
        <v>706200</v>
      </c>
      <c r="C30" s="194" t="s">
        <v>304</v>
      </c>
      <c r="D30" s="195"/>
      <c r="E30" s="196"/>
      <c r="F30" s="196">
        <v>289</v>
      </c>
      <c r="G30" s="196">
        <v>463.42</v>
      </c>
      <c r="H30" s="196">
        <v>468</v>
      </c>
      <c r="I30" s="196">
        <v>1500</v>
      </c>
      <c r="J30" s="197">
        <f t="shared" si="3"/>
        <v>1032</v>
      </c>
      <c r="K30" s="198">
        <f t="shared" si="4"/>
        <v>2.2051282051282053</v>
      </c>
      <c r="L30" s="196"/>
      <c r="M30" s="196"/>
      <c r="N30" s="196"/>
      <c r="O30" s="196"/>
      <c r="P30" s="199"/>
    </row>
    <row r="31" spans="1:19" ht="31.5" customHeight="1" x14ac:dyDescent="0.2">
      <c r="A31" s="193" t="s">
        <v>292</v>
      </c>
      <c r="B31" s="319">
        <v>706300</v>
      </c>
      <c r="C31" s="194" t="s">
        <v>13</v>
      </c>
      <c r="D31" s="195"/>
      <c r="E31" s="196"/>
      <c r="F31" s="196">
        <v>41.25</v>
      </c>
      <c r="G31" s="196"/>
      <c r="H31" s="196"/>
      <c r="I31" s="196"/>
      <c r="J31" s="197">
        <f t="shared" si="3"/>
        <v>0</v>
      </c>
      <c r="K31" s="198" t="e">
        <f t="shared" si="4"/>
        <v>#DIV/0!</v>
      </c>
      <c r="L31" s="196"/>
      <c r="M31" s="196"/>
      <c r="N31" s="196"/>
      <c r="O31" s="196"/>
      <c r="P31" s="199"/>
    </row>
    <row r="32" spans="1:19" ht="31.5" customHeight="1" x14ac:dyDescent="0.2">
      <c r="A32" s="193" t="s">
        <v>276</v>
      </c>
      <c r="B32" s="319">
        <v>706605</v>
      </c>
      <c r="C32" s="194" t="s">
        <v>275</v>
      </c>
      <c r="D32" s="195"/>
      <c r="E32" s="196">
        <v>1162.27</v>
      </c>
      <c r="F32" s="196">
        <v>365</v>
      </c>
      <c r="G32" s="196">
        <v>222.5</v>
      </c>
      <c r="H32" s="196"/>
      <c r="I32" s="196">
        <v>600</v>
      </c>
      <c r="J32" s="197">
        <f t="shared" si="3"/>
        <v>600</v>
      </c>
      <c r="K32" s="198" t="e">
        <f t="shared" si="4"/>
        <v>#DIV/0!</v>
      </c>
      <c r="L32" s="196"/>
      <c r="M32" s="196"/>
      <c r="N32" s="196"/>
      <c r="O32" s="196"/>
      <c r="P32" s="199" t="s">
        <v>1073</v>
      </c>
    </row>
    <row r="33" spans="1:16" ht="31.5" customHeight="1" x14ac:dyDescent="0.2">
      <c r="A33" s="193" t="s">
        <v>270</v>
      </c>
      <c r="B33" s="319">
        <v>706600</v>
      </c>
      <c r="C33" s="194" t="s">
        <v>269</v>
      </c>
      <c r="D33" s="195"/>
      <c r="E33" s="196">
        <v>5742.4800000000005</v>
      </c>
      <c r="F33" s="196">
        <v>4785.4000000000005</v>
      </c>
      <c r="G33" s="196">
        <v>5742.4800000000005</v>
      </c>
      <c r="H33" s="196">
        <v>5025</v>
      </c>
      <c r="I33" s="196">
        <v>6350</v>
      </c>
      <c r="J33" s="197">
        <f t="shared" si="3"/>
        <v>1325</v>
      </c>
      <c r="K33" s="198">
        <f t="shared" si="4"/>
        <v>0.26368159203980102</v>
      </c>
      <c r="L33" s="196"/>
      <c r="M33" s="196"/>
      <c r="N33" s="196"/>
      <c r="O33" s="196"/>
      <c r="P33" s="199"/>
    </row>
    <row r="34" spans="1:16" ht="31.5" customHeight="1" x14ac:dyDescent="0.2">
      <c r="A34" s="193" t="s">
        <v>244</v>
      </c>
      <c r="B34" s="318">
        <v>707001</v>
      </c>
      <c r="C34" s="194" t="s">
        <v>243</v>
      </c>
      <c r="D34" s="195"/>
      <c r="E34" s="196">
        <v>-25</v>
      </c>
      <c r="F34" s="196">
        <v>0</v>
      </c>
      <c r="G34" s="196"/>
      <c r="H34" s="196"/>
      <c r="I34" s="196"/>
      <c r="J34" s="197">
        <f t="shared" si="3"/>
        <v>0</v>
      </c>
      <c r="K34" s="198" t="e">
        <f t="shared" si="4"/>
        <v>#DIV/0!</v>
      </c>
      <c r="L34" s="196"/>
      <c r="M34" s="196"/>
      <c r="N34" s="196"/>
      <c r="O34" s="196"/>
      <c r="P34" s="199"/>
    </row>
    <row r="35" spans="1:16" ht="31.5" customHeight="1" x14ac:dyDescent="0.2">
      <c r="A35" s="193" t="s">
        <v>232</v>
      </c>
      <c r="B35" s="318">
        <v>707152</v>
      </c>
      <c r="C35" s="194" t="s">
        <v>231</v>
      </c>
      <c r="D35" s="195"/>
      <c r="E35" s="196">
        <v>592.20000000000005</v>
      </c>
      <c r="F35" s="196">
        <v>592.45000000000005</v>
      </c>
      <c r="G35" s="196">
        <v>534.38</v>
      </c>
      <c r="H35" s="196">
        <v>378</v>
      </c>
      <c r="I35" s="196">
        <v>378</v>
      </c>
      <c r="J35" s="197">
        <f t="shared" si="3"/>
        <v>0</v>
      </c>
      <c r="K35" s="198">
        <f t="shared" si="4"/>
        <v>0</v>
      </c>
      <c r="L35" s="196"/>
      <c r="M35" s="196"/>
      <c r="N35" s="196"/>
      <c r="O35" s="196"/>
      <c r="P35" s="199"/>
    </row>
    <row r="36" spans="1:16" ht="31.5" customHeight="1" x14ac:dyDescent="0.2">
      <c r="A36" s="193" t="s">
        <v>230</v>
      </c>
      <c r="B36" s="318">
        <v>707151</v>
      </c>
      <c r="C36" s="194" t="s">
        <v>15</v>
      </c>
      <c r="D36" s="195"/>
      <c r="E36" s="196">
        <v>930.24</v>
      </c>
      <c r="F36" s="196">
        <v>682.56000000000006</v>
      </c>
      <c r="G36" s="196">
        <v>600</v>
      </c>
      <c r="H36" s="196">
        <f>57*12</f>
        <v>684</v>
      </c>
      <c r="I36" s="196">
        <v>684</v>
      </c>
      <c r="J36" s="197">
        <f t="shared" si="3"/>
        <v>0</v>
      </c>
      <c r="K36" s="198">
        <f t="shared" si="4"/>
        <v>0</v>
      </c>
      <c r="L36" s="196"/>
      <c r="M36" s="196"/>
      <c r="N36" s="196"/>
      <c r="O36" s="196"/>
      <c r="P36" s="199"/>
    </row>
    <row r="37" spans="1:16" ht="31.5" customHeight="1" x14ac:dyDescent="0.2">
      <c r="A37" s="193" t="s">
        <v>229</v>
      </c>
      <c r="B37" s="318">
        <v>707151</v>
      </c>
      <c r="C37" s="194" t="s">
        <v>16</v>
      </c>
      <c r="D37" s="195"/>
      <c r="E37" s="196">
        <v>22.63</v>
      </c>
      <c r="F37" s="196">
        <v>43.68</v>
      </c>
      <c r="G37" s="196">
        <v>41.160000000000004</v>
      </c>
      <c r="H37" s="196">
        <v>48</v>
      </c>
      <c r="I37" s="196">
        <v>48</v>
      </c>
      <c r="J37" s="197">
        <f t="shared" si="3"/>
        <v>0</v>
      </c>
      <c r="K37" s="198">
        <f t="shared" si="4"/>
        <v>0</v>
      </c>
      <c r="L37" s="196"/>
      <c r="M37" s="196"/>
      <c r="N37" s="196"/>
      <c r="O37" s="196"/>
      <c r="P37" s="199"/>
    </row>
    <row r="38" spans="1:16" ht="31.5" customHeight="1" x14ac:dyDescent="0.2">
      <c r="A38" s="193" t="s">
        <v>217</v>
      </c>
      <c r="B38" s="318">
        <v>707306</v>
      </c>
      <c r="C38" s="194" t="s">
        <v>216</v>
      </c>
      <c r="D38" s="195"/>
      <c r="E38" s="196">
        <v>-144</v>
      </c>
      <c r="F38" s="196"/>
      <c r="G38" s="196"/>
      <c r="H38" s="196"/>
      <c r="I38" s="196"/>
      <c r="J38" s="197">
        <f t="shared" si="3"/>
        <v>0</v>
      </c>
      <c r="K38" s="198" t="e">
        <f t="shared" si="4"/>
        <v>#DIV/0!</v>
      </c>
      <c r="L38" s="196"/>
      <c r="M38" s="196"/>
      <c r="N38" s="196"/>
      <c r="O38" s="196"/>
      <c r="P38" s="199"/>
    </row>
    <row r="39" spans="1:16" ht="31.5" customHeight="1" x14ac:dyDescent="0.2">
      <c r="A39" s="193" t="s">
        <v>203</v>
      </c>
      <c r="B39" s="318">
        <v>707301</v>
      </c>
      <c r="C39" s="194" t="s">
        <v>18</v>
      </c>
      <c r="D39" s="195"/>
      <c r="E39" s="196">
        <v>2772</v>
      </c>
      <c r="F39" s="196">
        <v>700</v>
      </c>
      <c r="G39" s="196">
        <v>234</v>
      </c>
      <c r="H39" s="196">
        <v>3702</v>
      </c>
      <c r="I39" s="196">
        <v>4500</v>
      </c>
      <c r="J39" s="197">
        <f t="shared" si="3"/>
        <v>798</v>
      </c>
      <c r="K39" s="198">
        <f t="shared" si="4"/>
        <v>0.21555915721231766</v>
      </c>
      <c r="L39" s="196"/>
      <c r="M39" s="196"/>
      <c r="N39" s="196"/>
      <c r="O39" s="196"/>
      <c r="P39" s="199"/>
    </row>
    <row r="40" spans="1:16" ht="31.5" customHeight="1" x14ac:dyDescent="0.2">
      <c r="A40" s="193" t="s">
        <v>198</v>
      </c>
      <c r="B40" s="318">
        <v>707304</v>
      </c>
      <c r="C40" s="194" t="s">
        <v>197</v>
      </c>
      <c r="D40" s="195"/>
      <c r="E40" s="196">
        <v>11399.2</v>
      </c>
      <c r="F40" s="196">
        <v>9513.36</v>
      </c>
      <c r="G40" s="196">
        <v>9956.5500000000011</v>
      </c>
      <c r="H40" s="196">
        <v>8080</v>
      </c>
      <c r="I40" s="196">
        <v>13000</v>
      </c>
      <c r="J40" s="197">
        <f t="shared" si="3"/>
        <v>4920</v>
      </c>
      <c r="K40" s="198">
        <f t="shared" si="4"/>
        <v>0.6089108910891089</v>
      </c>
      <c r="L40" s="196"/>
      <c r="M40" s="196"/>
      <c r="N40" s="196"/>
      <c r="O40" s="196">
        <v>1565</v>
      </c>
      <c r="P40" s="199" t="s">
        <v>1074</v>
      </c>
    </row>
    <row r="41" spans="1:16" ht="31.5" customHeight="1" x14ac:dyDescent="0.2">
      <c r="A41" s="193" t="s">
        <v>196</v>
      </c>
      <c r="B41" s="318">
        <v>707309</v>
      </c>
      <c r="C41" s="194" t="s">
        <v>19</v>
      </c>
      <c r="D41" s="195"/>
      <c r="E41" s="196">
        <v>109.19</v>
      </c>
      <c r="F41" s="196">
        <v>2118.86</v>
      </c>
      <c r="G41" s="196">
        <v>891.17000000000007</v>
      </c>
      <c r="H41" s="196"/>
      <c r="I41" s="196"/>
      <c r="J41" s="197">
        <f t="shared" si="3"/>
        <v>0</v>
      </c>
      <c r="K41" s="198" t="e">
        <f t="shared" si="4"/>
        <v>#DIV/0!</v>
      </c>
      <c r="L41" s="196"/>
      <c r="M41" s="196"/>
      <c r="N41" s="196"/>
      <c r="O41" s="196"/>
      <c r="P41" s="199"/>
    </row>
    <row r="42" spans="1:16" ht="31.5" customHeight="1" x14ac:dyDescent="0.2">
      <c r="A42" s="193" t="s">
        <v>189</v>
      </c>
      <c r="B42" s="318">
        <v>707350</v>
      </c>
      <c r="C42" s="194" t="s">
        <v>188</v>
      </c>
      <c r="D42" s="195"/>
      <c r="E42" s="196">
        <v>536</v>
      </c>
      <c r="F42" s="196"/>
      <c r="G42" s="196"/>
      <c r="H42" s="196"/>
      <c r="I42" s="196">
        <v>375</v>
      </c>
      <c r="J42" s="197">
        <f t="shared" si="3"/>
        <v>375</v>
      </c>
      <c r="K42" s="198" t="e">
        <f t="shared" si="4"/>
        <v>#DIV/0!</v>
      </c>
      <c r="L42" s="196"/>
      <c r="M42" s="196"/>
      <c r="N42" s="196"/>
      <c r="O42" s="196"/>
      <c r="P42" s="199"/>
    </row>
    <row r="43" spans="1:16" ht="31.5" customHeight="1" x14ac:dyDescent="0.2">
      <c r="A43" s="193"/>
      <c r="B43" s="193"/>
      <c r="C43" s="194"/>
      <c r="D43" s="195"/>
      <c r="E43" s="196"/>
      <c r="F43" s="196"/>
      <c r="G43" s="196"/>
      <c r="H43" s="196"/>
      <c r="I43" s="196"/>
      <c r="J43" s="197">
        <f t="shared" si="3"/>
        <v>0</v>
      </c>
      <c r="K43" s="198" t="e">
        <f t="shared" si="4"/>
        <v>#DIV/0!</v>
      </c>
      <c r="L43" s="196"/>
      <c r="M43" s="196"/>
      <c r="N43" s="196"/>
      <c r="O43" s="196"/>
      <c r="P43" s="199"/>
    </row>
    <row r="44" spans="1:16" ht="31.5" customHeight="1" x14ac:dyDescent="0.2">
      <c r="A44" s="193"/>
      <c r="B44" s="193"/>
      <c r="C44" s="194"/>
      <c r="D44" s="195"/>
      <c r="E44" s="196"/>
      <c r="F44" s="196"/>
      <c r="G44" s="196"/>
      <c r="H44" s="196"/>
      <c r="I44" s="196"/>
      <c r="J44" s="197">
        <f t="shared" si="3"/>
        <v>0</v>
      </c>
      <c r="K44" s="198" t="e">
        <f t="shared" si="4"/>
        <v>#DIV/0!</v>
      </c>
      <c r="L44" s="196"/>
      <c r="M44" s="196"/>
      <c r="N44" s="196"/>
      <c r="O44" s="196"/>
      <c r="P44" s="199"/>
    </row>
    <row r="45" spans="1:16" ht="31.5" customHeight="1" x14ac:dyDescent="0.2">
      <c r="A45" s="193"/>
      <c r="B45" s="193"/>
      <c r="C45" s="194"/>
      <c r="D45" s="195"/>
      <c r="E45" s="196"/>
      <c r="F45" s="196"/>
      <c r="G45" s="196"/>
      <c r="H45" s="196"/>
      <c r="I45" s="196"/>
      <c r="J45" s="197">
        <f t="shared" si="3"/>
        <v>0</v>
      </c>
      <c r="K45" s="198" t="e">
        <f t="shared" si="4"/>
        <v>#DIV/0!</v>
      </c>
      <c r="L45" s="196"/>
      <c r="M45" s="196"/>
      <c r="N45" s="196"/>
      <c r="O45" s="196"/>
      <c r="P45" s="199"/>
    </row>
    <row r="46" spans="1:16" ht="31.5" customHeight="1" x14ac:dyDescent="0.2">
      <c r="A46" s="193"/>
      <c r="B46" s="193"/>
      <c r="C46" s="194"/>
      <c r="D46" s="195"/>
      <c r="E46" s="196"/>
      <c r="F46" s="196"/>
      <c r="G46" s="196"/>
      <c r="H46" s="196"/>
      <c r="I46" s="196"/>
      <c r="J46" s="197">
        <f t="shared" si="3"/>
        <v>0</v>
      </c>
      <c r="K46" s="198" t="e">
        <f t="shared" si="4"/>
        <v>#DIV/0!</v>
      </c>
      <c r="L46" s="196"/>
      <c r="M46" s="196"/>
      <c r="N46" s="196"/>
      <c r="O46" s="196"/>
      <c r="P46" s="199"/>
    </row>
    <row r="47" spans="1:16" ht="13.5" thickBot="1" x14ac:dyDescent="0.25">
      <c r="A47" s="200"/>
      <c r="B47" s="200"/>
      <c r="C47" s="177" t="s">
        <v>22</v>
      </c>
      <c r="D47" s="201"/>
      <c r="E47" s="180">
        <f>SUM(E20:E46)</f>
        <v>44242.240000000005</v>
      </c>
      <c r="F47" s="180">
        <f>SUM(F20:F46)</f>
        <v>39594.280000000006</v>
      </c>
      <c r="G47" s="180">
        <f>SUM(G20:G46)</f>
        <v>40527.369999999995</v>
      </c>
      <c r="H47" s="180">
        <f>SUM(H20:H46)</f>
        <v>41073</v>
      </c>
      <c r="I47" s="180">
        <f>SUM(I20:I46)</f>
        <v>52175</v>
      </c>
      <c r="J47" s="180">
        <f t="shared" si="3"/>
        <v>11102</v>
      </c>
      <c r="K47" s="181">
        <f t="shared" si="4"/>
        <v>0.27029922333406375</v>
      </c>
      <c r="L47" s="180">
        <f>SUM(L20:L46)</f>
        <v>0</v>
      </c>
      <c r="M47" s="180">
        <f t="shared" ref="M47:O47" si="5">SUM(M20:M46)</f>
        <v>0</v>
      </c>
      <c r="N47" s="180">
        <f t="shared" si="5"/>
        <v>0</v>
      </c>
      <c r="O47" s="180">
        <f t="shared" si="5"/>
        <v>1565</v>
      </c>
      <c r="P47" s="202"/>
    </row>
    <row r="48" spans="1:16" ht="13.5" thickBot="1" x14ac:dyDescent="0.25">
      <c r="A48" s="203"/>
      <c r="B48" s="203"/>
      <c r="C48" s="204" t="s">
        <v>961</v>
      </c>
      <c r="D48" s="205"/>
      <c r="E48" s="206">
        <f>E17+E47+E10</f>
        <v>158847.83000000002</v>
      </c>
      <c r="F48" s="206">
        <f t="shared" ref="F48:I48" si="6">F17+F47+F10</f>
        <v>130931.84</v>
      </c>
      <c r="G48" s="206">
        <f t="shared" si="6"/>
        <v>163019.62</v>
      </c>
      <c r="H48" s="206">
        <f t="shared" si="6"/>
        <v>166872</v>
      </c>
      <c r="I48" s="206">
        <f t="shared" si="6"/>
        <v>205593</v>
      </c>
      <c r="J48" s="206">
        <f>I48-H48</f>
        <v>38721</v>
      </c>
      <c r="K48" s="207">
        <f>(I48-H48)/H48</f>
        <v>0.23204012656407305</v>
      </c>
      <c r="L48" s="206">
        <f>L17+L47</f>
        <v>0</v>
      </c>
      <c r="M48" s="206">
        <f>M17+M47</f>
        <v>0</v>
      </c>
      <c r="N48" s="206">
        <f>N17+N47</f>
        <v>0</v>
      </c>
      <c r="O48" s="206">
        <f>O17+O47</f>
        <v>1565</v>
      </c>
      <c r="P48" s="208"/>
    </row>
    <row r="49" spans="1:16" x14ac:dyDescent="0.2">
      <c r="A49" s="203"/>
      <c r="B49" s="203"/>
      <c r="C49" s="209" t="s">
        <v>698</v>
      </c>
      <c r="D49" s="210"/>
      <c r="E49" s="211"/>
      <c r="F49" s="211"/>
      <c r="G49" s="211"/>
      <c r="H49" s="212">
        <v>0</v>
      </c>
      <c r="I49" s="213"/>
      <c r="J49" s="213"/>
      <c r="K49" s="214"/>
      <c r="L49" s="213"/>
      <c r="M49" s="213"/>
      <c r="N49" s="213"/>
      <c r="O49" s="213"/>
      <c r="P49" s="215"/>
    </row>
    <row r="50" spans="1:16" x14ac:dyDescent="0.2">
      <c r="A50" s="203"/>
      <c r="B50" s="203"/>
      <c r="C50" s="183" t="s">
        <v>699</v>
      </c>
      <c r="D50" s="184"/>
      <c r="E50" s="216"/>
      <c r="F50" s="216"/>
      <c r="G50" s="216"/>
      <c r="H50" s="185">
        <v>161219</v>
      </c>
      <c r="I50" s="217"/>
      <c r="J50" s="217"/>
      <c r="K50" s="218"/>
      <c r="L50" s="217"/>
      <c r="M50" s="217"/>
      <c r="N50" s="217"/>
      <c r="O50" s="217"/>
      <c r="P50" s="219"/>
    </row>
    <row r="51" spans="1:16" x14ac:dyDescent="0.2">
      <c r="A51" s="203"/>
      <c r="B51" s="203"/>
      <c r="C51" s="183" t="s">
        <v>700</v>
      </c>
      <c r="D51" s="184"/>
      <c r="E51" s="216"/>
      <c r="F51" s="216"/>
      <c r="G51" s="216"/>
      <c r="H51" s="220">
        <f>H49-H10</f>
        <v>0</v>
      </c>
      <c r="I51" s="217"/>
      <c r="J51" s="217"/>
      <c r="K51" s="218"/>
      <c r="L51" s="217"/>
      <c r="M51" s="217"/>
      <c r="N51" s="217"/>
      <c r="O51" s="217"/>
      <c r="P51" s="219"/>
    </row>
    <row r="52" spans="1:16" x14ac:dyDescent="0.2">
      <c r="A52" s="221"/>
      <c r="B52" s="221"/>
      <c r="C52" s="183" t="s">
        <v>701</v>
      </c>
      <c r="D52" s="184"/>
      <c r="E52" s="217"/>
      <c r="F52" s="217"/>
      <c r="G52" s="217"/>
      <c r="H52" s="220">
        <f>H50-H48</f>
        <v>-5653</v>
      </c>
      <c r="I52" s="217"/>
      <c r="J52" s="217"/>
      <c r="K52" s="218"/>
      <c r="L52" s="217"/>
      <c r="M52" s="217"/>
      <c r="N52" s="217"/>
      <c r="O52" s="217"/>
      <c r="P52" s="219"/>
    </row>
    <row r="54" spans="1:16" s="157" customFormat="1" ht="27" customHeight="1" thickBot="1" x14ac:dyDescent="0.25">
      <c r="A54" s="158" t="s">
        <v>687</v>
      </c>
      <c r="B54" s="158" t="s">
        <v>687</v>
      </c>
      <c r="M54" s="406" t="s">
        <v>690</v>
      </c>
      <c r="N54" s="406"/>
      <c r="O54" s="406"/>
    </row>
    <row r="55" spans="1:16" s="157" customFormat="1" ht="51.75" thickBot="1" x14ac:dyDescent="0.25">
      <c r="A55" s="225"/>
      <c r="B55" s="225"/>
      <c r="C55" s="229" t="s">
        <v>633</v>
      </c>
      <c r="D55" s="249"/>
      <c r="E55" s="234" t="s">
        <v>749</v>
      </c>
      <c r="F55" s="234" t="s">
        <v>750</v>
      </c>
      <c r="G55" s="234" t="s">
        <v>751</v>
      </c>
      <c r="H55" s="294" t="s">
        <v>747</v>
      </c>
      <c r="I55" s="234" t="s">
        <v>748</v>
      </c>
      <c r="J55" s="234" t="s">
        <v>745</v>
      </c>
      <c r="K55" s="295" t="s">
        <v>641</v>
      </c>
      <c r="M55" s="145"/>
      <c r="N55" s="145" t="s">
        <v>693</v>
      </c>
      <c r="O55" s="145" t="s">
        <v>694</v>
      </c>
    </row>
    <row r="56" spans="1:16" s="157" customFormat="1" x14ac:dyDescent="0.2">
      <c r="A56" s="225"/>
      <c r="B56" s="225"/>
      <c r="C56" s="194" t="s">
        <v>688</v>
      </c>
      <c r="D56" s="195"/>
      <c r="E56" s="226"/>
      <c r="F56" s="226"/>
      <c r="G56" s="226"/>
      <c r="H56" s="226"/>
      <c r="I56" s="226"/>
      <c r="J56" s="227">
        <f>I56-H56</f>
        <v>0</v>
      </c>
      <c r="K56" s="228" t="e">
        <f>(I56-H56)/H56</f>
        <v>#DIV/0!</v>
      </c>
      <c r="M56" s="146" t="s">
        <v>691</v>
      </c>
      <c r="N56" s="146">
        <v>1</v>
      </c>
      <c r="O56" s="146">
        <v>0</v>
      </c>
    </row>
    <row r="57" spans="1:16" s="157" customFormat="1" x14ac:dyDescent="0.2">
      <c r="M57" s="146" t="s">
        <v>692</v>
      </c>
      <c r="N57" s="146">
        <v>2</v>
      </c>
      <c r="O57" s="146"/>
    </row>
    <row r="58" spans="1:16" s="157" customFormat="1" x14ac:dyDescent="0.2">
      <c r="M58" s="146" t="s">
        <v>23</v>
      </c>
      <c r="N58" s="146">
        <f>SUM(N56:N57)</f>
        <v>3</v>
      </c>
      <c r="O58" s="146">
        <f>SUM(O56:O57)</f>
        <v>0</v>
      </c>
    </row>
    <row r="59" spans="1:16" s="157" customFormat="1" x14ac:dyDescent="0.2"/>
    <row r="60" spans="1:16" s="157" customFormat="1" x14ac:dyDescent="0.2"/>
    <row r="61" spans="1:16" s="157" customFormat="1" x14ac:dyDescent="0.2"/>
  </sheetData>
  <mergeCells count="2">
    <mergeCell ref="L3:N3"/>
    <mergeCell ref="M54:O54"/>
  </mergeCells>
  <pageMargins left="0.25" right="0.25" top="0.67708333333333304" bottom="0.35416666666666702" header="0.3" footer="0.3"/>
  <pageSetup paperSize="5" scale="70" orientation="landscape" r:id="rId1"/>
  <headerFooter>
    <oddHeader>&amp;C&amp;"Calibri,Bold"&amp;A</oddHeader>
    <oddFooter>&amp;Rprinted:  &amp;D&amp;T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55"/>
  <sheetViews>
    <sheetView showGridLines="0" zoomScaleNormal="100" workbookViewId="0">
      <selection activeCell="I6" sqref="I6"/>
    </sheetView>
  </sheetViews>
  <sheetFormatPr defaultColWidth="9.140625" defaultRowHeight="12.75" x14ac:dyDescent="0.2"/>
  <cols>
    <col min="1" max="1" width="10.28515625" style="156" customWidth="1"/>
    <col min="2" max="2" width="11" style="156" customWidth="1"/>
    <col min="3" max="3" width="36.140625" style="156" customWidth="1"/>
    <col min="4" max="4" width="2" style="156" customWidth="1"/>
    <col min="5" max="8" width="11.28515625" style="156" bestFit="1" customWidth="1"/>
    <col min="9" max="9" width="12" style="156" customWidth="1"/>
    <col min="10" max="10" width="12.7109375" style="156" customWidth="1"/>
    <col min="11" max="11" width="10.5703125" style="156" customWidth="1"/>
    <col min="12" max="12" width="14.140625" style="156" customWidth="1"/>
    <col min="13" max="13" width="12.28515625" style="156" customWidth="1"/>
    <col min="14" max="14" width="11.42578125" style="156" customWidth="1"/>
    <col min="15" max="15" width="12" style="156" customWidth="1"/>
    <col min="16" max="16" width="55.28515625" style="156" bestFit="1" customWidth="1"/>
    <col min="17" max="16384" width="9.140625" style="156"/>
  </cols>
  <sheetData>
    <row r="1" spans="1:19" ht="23.25" customHeight="1" x14ac:dyDescent="0.25">
      <c r="A1" s="290" t="s">
        <v>777</v>
      </c>
      <c r="B1" s="232"/>
      <c r="C1" s="291" t="s">
        <v>830</v>
      </c>
      <c r="O1" s="164"/>
    </row>
    <row r="2" spans="1:19" ht="23.25" customHeight="1" thickBot="1" x14ac:dyDescent="0.3">
      <c r="A2" s="290" t="s">
        <v>810</v>
      </c>
      <c r="B2" s="232"/>
      <c r="C2" s="292" t="s">
        <v>831</v>
      </c>
      <c r="O2" s="164"/>
    </row>
    <row r="3" spans="1:19" ht="32.25" customHeight="1" thickBot="1" x14ac:dyDescent="0.25">
      <c r="A3" s="165" t="s">
        <v>778</v>
      </c>
      <c r="C3" s="233"/>
      <c r="D3" s="157"/>
      <c r="E3" s="157"/>
      <c r="L3" s="403" t="s">
        <v>776</v>
      </c>
      <c r="M3" s="404"/>
      <c r="N3" s="405"/>
    </row>
    <row r="4" spans="1:19" s="157" customFormat="1" ht="51.75" thickBot="1" x14ac:dyDescent="0.25">
      <c r="A4" s="293" t="s">
        <v>811</v>
      </c>
      <c r="B4" s="293" t="s">
        <v>812</v>
      </c>
      <c r="C4" s="166" t="s">
        <v>633</v>
      </c>
      <c r="D4" s="167"/>
      <c r="E4" s="234" t="s">
        <v>749</v>
      </c>
      <c r="F4" s="234" t="s">
        <v>750</v>
      </c>
      <c r="G4" s="234" t="s">
        <v>751</v>
      </c>
      <c r="H4" s="294" t="s">
        <v>747</v>
      </c>
      <c r="I4" s="234" t="s">
        <v>748</v>
      </c>
      <c r="J4" s="234" t="s">
        <v>745</v>
      </c>
      <c r="K4" s="295" t="s">
        <v>641</v>
      </c>
      <c r="L4" s="231" t="s">
        <v>642</v>
      </c>
      <c r="M4" s="231" t="s">
        <v>643</v>
      </c>
      <c r="N4" s="230" t="s">
        <v>644</v>
      </c>
      <c r="O4" s="294" t="s">
        <v>746</v>
      </c>
      <c r="P4" s="168" t="s">
        <v>969</v>
      </c>
    </row>
    <row r="5" spans="1:19" ht="15" customHeight="1" x14ac:dyDescent="0.2">
      <c r="A5" s="284" t="s">
        <v>695</v>
      </c>
      <c r="B5" s="285"/>
      <c r="C5" s="285"/>
      <c r="D5" s="285"/>
      <c r="E5" s="285"/>
      <c r="F5" s="285"/>
      <c r="G5" s="285"/>
      <c r="H5" s="285"/>
      <c r="I5" s="285"/>
      <c r="J5" s="285"/>
      <c r="K5" s="285"/>
      <c r="L5" s="285"/>
      <c r="M5" s="285"/>
      <c r="N5" s="285"/>
      <c r="O5" s="286"/>
      <c r="Q5" s="157"/>
      <c r="R5" s="157"/>
      <c r="S5" s="157"/>
    </row>
    <row r="6" spans="1:19" ht="26.25" customHeight="1" x14ac:dyDescent="0.2">
      <c r="A6" s="169" t="s">
        <v>813</v>
      </c>
      <c r="B6" s="169">
        <v>601000</v>
      </c>
      <c r="C6" s="146" t="s">
        <v>685</v>
      </c>
      <c r="D6" s="170"/>
      <c r="E6" s="171">
        <f>45846.08+88281.17</f>
        <v>134127.25</v>
      </c>
      <c r="F6" s="171">
        <f>45671.09+87944.22</f>
        <v>133615.31</v>
      </c>
      <c r="G6" s="171">
        <f>46971.13+88740</f>
        <v>135711.13</v>
      </c>
      <c r="H6" s="171">
        <f>SUM('FT Salaries'!E26)</f>
        <v>133615.03200000001</v>
      </c>
      <c r="I6" s="172">
        <f>SUM(H6)</f>
        <v>133615.03200000001</v>
      </c>
      <c r="J6" s="173">
        <f>I6-H6</f>
        <v>0</v>
      </c>
      <c r="K6" s="174">
        <f>(I6-H6)/H6</f>
        <v>0</v>
      </c>
      <c r="L6" s="172"/>
      <c r="M6" s="175"/>
      <c r="N6" s="175"/>
      <c r="O6" s="175"/>
      <c r="P6" s="147"/>
      <c r="Q6" s="157"/>
      <c r="R6" s="157"/>
      <c r="S6" s="157"/>
    </row>
    <row r="7" spans="1:19" ht="32.25" customHeight="1" x14ac:dyDescent="0.2">
      <c r="A7" s="169" t="s">
        <v>814</v>
      </c>
      <c r="B7" s="169">
        <v>601100</v>
      </c>
      <c r="C7" s="146" t="s">
        <v>686</v>
      </c>
      <c r="D7" s="170"/>
      <c r="E7" s="171">
        <v>0</v>
      </c>
      <c r="F7" s="171">
        <v>0</v>
      </c>
      <c r="G7" s="171">
        <v>0</v>
      </c>
      <c r="H7" s="171"/>
      <c r="I7" s="172"/>
      <c r="J7" s="173">
        <f>I7-H7</f>
        <v>0</v>
      </c>
      <c r="K7" s="174" t="e">
        <f>(I7-H7)/H7</f>
        <v>#DIV/0!</v>
      </c>
      <c r="L7" s="172"/>
      <c r="M7" s="175"/>
      <c r="N7" s="175"/>
      <c r="O7" s="175"/>
      <c r="P7" s="147"/>
      <c r="Q7" s="157"/>
      <c r="R7" s="157"/>
      <c r="S7" s="157"/>
    </row>
    <row r="8" spans="1:19" ht="13.5" customHeight="1" thickBot="1" x14ac:dyDescent="0.25">
      <c r="A8" s="176"/>
      <c r="B8" s="176"/>
      <c r="C8" s="177" t="s">
        <v>697</v>
      </c>
      <c r="D8" s="178"/>
      <c r="E8" s="179">
        <f>SUM(E6:E7)</f>
        <v>134127.25</v>
      </c>
      <c r="F8" s="179">
        <f>SUM(F6:F7)</f>
        <v>133615.31</v>
      </c>
      <c r="G8" s="179">
        <f>SUM(G6:G7)</f>
        <v>135711.13</v>
      </c>
      <c r="H8" s="179">
        <f>SUM(H6:H7)</f>
        <v>133615.03200000001</v>
      </c>
      <c r="I8" s="179">
        <f>SUM(I6:I7)</f>
        <v>133615.03200000001</v>
      </c>
      <c r="J8" s="180">
        <f>I8-H8</f>
        <v>0</v>
      </c>
      <c r="K8" s="181">
        <f>(I8-H8)/H8</f>
        <v>0</v>
      </c>
      <c r="L8" s="179">
        <f>SUM(L6:L7)</f>
        <v>0</v>
      </c>
      <c r="M8" s="179">
        <f t="shared" ref="M8:O8" si="0">SUM(M6:M7)</f>
        <v>0</v>
      </c>
      <c r="N8" s="179">
        <f t="shared" si="0"/>
        <v>0</v>
      </c>
      <c r="O8" s="179">
        <f t="shared" si="0"/>
        <v>0</v>
      </c>
      <c r="P8" s="182"/>
      <c r="Q8" s="157"/>
      <c r="R8" s="157"/>
      <c r="S8" s="157"/>
    </row>
    <row r="9" spans="1:19" ht="13.5" customHeight="1" x14ac:dyDescent="0.2">
      <c r="A9" s="284" t="s">
        <v>703</v>
      </c>
      <c r="B9" s="285"/>
      <c r="C9" s="285"/>
      <c r="D9" s="285"/>
      <c r="E9" s="285"/>
      <c r="F9" s="285"/>
      <c r="G9" s="285"/>
      <c r="H9" s="285"/>
      <c r="I9" s="285"/>
      <c r="J9" s="285"/>
      <c r="K9" s="285"/>
      <c r="L9" s="285"/>
      <c r="M9" s="285"/>
      <c r="N9" s="285"/>
      <c r="O9" s="286"/>
      <c r="Q9" s="157"/>
      <c r="R9" s="157"/>
      <c r="S9" s="157"/>
    </row>
    <row r="10" spans="1:19" ht="27" customHeight="1" x14ac:dyDescent="0.2">
      <c r="A10" s="169"/>
      <c r="B10" s="169"/>
      <c r="C10" s="146"/>
      <c r="D10" s="170"/>
      <c r="E10" s="171"/>
      <c r="F10" s="171"/>
      <c r="G10" s="171"/>
      <c r="H10" s="171"/>
      <c r="I10" s="172"/>
      <c r="J10" s="173">
        <f t="shared" ref="J10:J18" si="1">I10-H10</f>
        <v>0</v>
      </c>
      <c r="K10" s="174" t="e">
        <f>(I10-H10)/H10</f>
        <v>#DIV/0!</v>
      </c>
      <c r="L10" s="172"/>
      <c r="M10" s="175"/>
      <c r="N10" s="175"/>
      <c r="O10" s="175"/>
      <c r="P10" s="147"/>
      <c r="Q10" s="157"/>
      <c r="R10" s="157"/>
      <c r="S10" s="157"/>
    </row>
    <row r="11" spans="1:19" ht="12" customHeight="1" x14ac:dyDescent="0.2">
      <c r="A11" s="284" t="s">
        <v>696</v>
      </c>
      <c r="B11" s="285"/>
      <c r="C11" s="285"/>
      <c r="D11" s="285"/>
      <c r="E11" s="285"/>
      <c r="F11" s="285"/>
      <c r="G11" s="285"/>
      <c r="H11" s="285"/>
      <c r="I11" s="285"/>
      <c r="J11" s="285"/>
      <c r="K11" s="285"/>
      <c r="L11" s="285"/>
      <c r="M11" s="285"/>
      <c r="N11" s="285"/>
      <c r="O11" s="286"/>
      <c r="Q11" s="157"/>
      <c r="R11" s="157"/>
      <c r="S11" s="157"/>
    </row>
    <row r="12" spans="1:19" x14ac:dyDescent="0.2">
      <c r="A12" s="169" t="s">
        <v>580</v>
      </c>
      <c r="B12" s="318">
        <v>601305</v>
      </c>
      <c r="C12" s="146" t="s">
        <v>579</v>
      </c>
      <c r="D12" s="170"/>
      <c r="E12" s="171">
        <v>12542.31</v>
      </c>
      <c r="F12" s="171">
        <v>0</v>
      </c>
      <c r="G12" s="171">
        <v>0</v>
      </c>
      <c r="H12" s="171"/>
      <c r="I12" s="172">
        <v>10000</v>
      </c>
      <c r="J12" s="173">
        <f t="shared" si="1"/>
        <v>10000</v>
      </c>
      <c r="K12" s="174" t="e">
        <f t="shared" ref="K12:K18" si="2">(I12-H12)/H12</f>
        <v>#DIV/0!</v>
      </c>
      <c r="L12" s="172"/>
      <c r="M12" s="175"/>
      <c r="N12" s="175"/>
      <c r="O12" s="175"/>
      <c r="P12" s="147" t="s">
        <v>1062</v>
      </c>
      <c r="Q12" s="157"/>
      <c r="R12" s="157"/>
      <c r="S12" s="157"/>
    </row>
    <row r="13" spans="1:19" x14ac:dyDescent="0.2">
      <c r="A13" s="169" t="s">
        <v>578</v>
      </c>
      <c r="B13" s="318">
        <v>601400</v>
      </c>
      <c r="C13" s="146" t="s">
        <v>577</v>
      </c>
      <c r="D13" s="170"/>
      <c r="E13" s="171">
        <v>11080.12</v>
      </c>
      <c r="F13" s="171">
        <v>9329.630000000001</v>
      </c>
      <c r="G13" s="171">
        <v>12099.1</v>
      </c>
      <c r="H13" s="171">
        <v>10000</v>
      </c>
      <c r="I13" s="172">
        <v>10000</v>
      </c>
      <c r="J13" s="173">
        <f t="shared" si="1"/>
        <v>0</v>
      </c>
      <c r="K13" s="174">
        <f t="shared" si="2"/>
        <v>0</v>
      </c>
      <c r="L13" s="172"/>
      <c r="M13" s="175"/>
      <c r="N13" s="175"/>
      <c r="O13" s="175"/>
      <c r="P13" s="147"/>
      <c r="Q13" s="157"/>
      <c r="R13" s="157"/>
      <c r="S13" s="157"/>
    </row>
    <row r="14" spans="1:19" x14ac:dyDescent="0.2">
      <c r="A14" s="169"/>
      <c r="B14" s="169"/>
      <c r="C14" s="146"/>
      <c r="D14" s="170"/>
      <c r="E14" s="171"/>
      <c r="F14" s="171"/>
      <c r="G14" s="171"/>
      <c r="H14" s="171"/>
      <c r="I14" s="172"/>
      <c r="J14" s="173">
        <f t="shared" si="1"/>
        <v>0</v>
      </c>
      <c r="K14" s="174" t="e">
        <f t="shared" si="2"/>
        <v>#DIV/0!</v>
      </c>
      <c r="L14" s="172"/>
      <c r="M14" s="175"/>
      <c r="N14" s="175"/>
      <c r="O14" s="175"/>
      <c r="P14" s="147"/>
      <c r="Q14" s="157"/>
      <c r="R14" s="157"/>
      <c r="S14" s="157"/>
    </row>
    <row r="15" spans="1:19" x14ac:dyDescent="0.2">
      <c r="A15" s="169"/>
      <c r="B15" s="169"/>
      <c r="C15" s="146"/>
      <c r="D15" s="170"/>
      <c r="E15" s="171"/>
      <c r="F15" s="171"/>
      <c r="G15" s="171"/>
      <c r="H15" s="171"/>
      <c r="I15" s="172"/>
      <c r="J15" s="173">
        <f t="shared" si="1"/>
        <v>0</v>
      </c>
      <c r="K15" s="174" t="e">
        <f t="shared" si="2"/>
        <v>#DIV/0!</v>
      </c>
      <c r="L15" s="172"/>
      <c r="M15" s="175"/>
      <c r="N15" s="175"/>
      <c r="O15" s="175"/>
      <c r="P15" s="147"/>
      <c r="Q15" s="157"/>
      <c r="R15" s="157"/>
      <c r="S15" s="157"/>
    </row>
    <row r="16" spans="1:19" x14ac:dyDescent="0.2">
      <c r="A16" s="169"/>
      <c r="B16" s="169"/>
      <c r="C16" s="146"/>
      <c r="D16" s="170"/>
      <c r="E16" s="171"/>
      <c r="F16" s="171"/>
      <c r="G16" s="171"/>
      <c r="H16" s="171"/>
      <c r="I16" s="172"/>
      <c r="J16" s="173">
        <f t="shared" si="1"/>
        <v>0</v>
      </c>
      <c r="K16" s="174" t="e">
        <f t="shared" si="2"/>
        <v>#DIV/0!</v>
      </c>
      <c r="L16" s="172"/>
      <c r="M16" s="175"/>
      <c r="N16" s="175"/>
      <c r="O16" s="175"/>
      <c r="P16" s="147"/>
      <c r="Q16" s="157"/>
      <c r="R16" s="157"/>
      <c r="S16" s="157"/>
    </row>
    <row r="17" spans="1:19" x14ac:dyDescent="0.2">
      <c r="A17" s="169"/>
      <c r="B17" s="169"/>
      <c r="C17" s="146"/>
      <c r="D17" s="170"/>
      <c r="E17" s="171"/>
      <c r="F17" s="171"/>
      <c r="G17" s="171"/>
      <c r="H17" s="171"/>
      <c r="I17" s="172"/>
      <c r="J17" s="173">
        <f t="shared" si="1"/>
        <v>0</v>
      </c>
      <c r="K17" s="174" t="e">
        <f t="shared" si="2"/>
        <v>#DIV/0!</v>
      </c>
      <c r="L17" s="172"/>
      <c r="M17" s="175"/>
      <c r="N17" s="175"/>
      <c r="O17" s="175"/>
      <c r="P17" s="147"/>
      <c r="Q17" s="157"/>
      <c r="R17" s="157"/>
      <c r="S17" s="157"/>
    </row>
    <row r="18" spans="1:19" x14ac:dyDescent="0.2">
      <c r="A18" s="222"/>
      <c r="B18" s="222"/>
      <c r="C18" s="183" t="s">
        <v>704</v>
      </c>
      <c r="D18" s="184"/>
      <c r="E18" s="185">
        <f>SUM(E12:E17)</f>
        <v>23622.43</v>
      </c>
      <c r="F18" s="185">
        <f t="shared" ref="F18:I18" si="3">SUM(F12:F17)</f>
        <v>9329.630000000001</v>
      </c>
      <c r="G18" s="185">
        <f t="shared" si="3"/>
        <v>12099.1</v>
      </c>
      <c r="H18" s="185">
        <f t="shared" si="3"/>
        <v>10000</v>
      </c>
      <c r="I18" s="185">
        <f t="shared" si="3"/>
        <v>20000</v>
      </c>
      <c r="J18" s="185">
        <f t="shared" si="1"/>
        <v>10000</v>
      </c>
      <c r="K18" s="186">
        <f t="shared" si="2"/>
        <v>1</v>
      </c>
      <c r="L18" s="185">
        <f>SUM(L12:L17)</f>
        <v>0</v>
      </c>
      <c r="M18" s="185">
        <f t="shared" ref="M18:O18" si="4">SUM(M12:M17)</f>
        <v>0</v>
      </c>
      <c r="N18" s="185">
        <f t="shared" si="4"/>
        <v>0</v>
      </c>
      <c r="O18" s="185">
        <f t="shared" si="4"/>
        <v>0</v>
      </c>
      <c r="P18" s="187"/>
      <c r="Q18" s="157"/>
      <c r="R18" s="157"/>
      <c r="S18" s="157"/>
    </row>
    <row r="19" spans="1:19" ht="7.5" customHeight="1" thickBot="1" x14ac:dyDescent="0.25">
      <c r="A19" s="188"/>
      <c r="B19" s="188"/>
      <c r="C19" s="189"/>
      <c r="D19" s="190"/>
      <c r="E19" s="189"/>
      <c r="F19" s="189"/>
      <c r="G19" s="189"/>
      <c r="H19" s="189"/>
      <c r="I19" s="191"/>
      <c r="J19" s="191"/>
      <c r="K19" s="191"/>
      <c r="L19" s="191"/>
      <c r="M19" s="191"/>
      <c r="N19" s="191"/>
      <c r="O19" s="191"/>
      <c r="P19" s="192"/>
      <c r="Q19" s="157"/>
      <c r="R19" s="157"/>
      <c r="S19" s="157"/>
    </row>
    <row r="20" spans="1:19" s="157" customFormat="1" ht="51.75" thickBot="1" x14ac:dyDescent="0.25">
      <c r="A20" s="293" t="s">
        <v>811</v>
      </c>
      <c r="B20" s="293" t="s">
        <v>812</v>
      </c>
      <c r="C20" s="229" t="s">
        <v>633</v>
      </c>
      <c r="D20" s="249"/>
      <c r="E20" s="295" t="s">
        <v>749</v>
      </c>
      <c r="F20" s="234" t="s">
        <v>750</v>
      </c>
      <c r="G20" s="234" t="s">
        <v>751</v>
      </c>
      <c r="H20" s="294" t="s">
        <v>747</v>
      </c>
      <c r="I20" s="234" t="s">
        <v>748</v>
      </c>
      <c r="J20" s="234" t="s">
        <v>745</v>
      </c>
      <c r="K20" s="295" t="s">
        <v>641</v>
      </c>
      <c r="L20" s="231" t="s">
        <v>642</v>
      </c>
      <c r="M20" s="231" t="s">
        <v>643</v>
      </c>
      <c r="N20" s="230" t="s">
        <v>644</v>
      </c>
      <c r="O20" s="294" t="s">
        <v>746</v>
      </c>
      <c r="P20" s="168" t="s">
        <v>969</v>
      </c>
    </row>
    <row r="21" spans="1:19" ht="31.5" customHeight="1" x14ac:dyDescent="0.2">
      <c r="A21" s="193" t="s">
        <v>391</v>
      </c>
      <c r="B21" s="319">
        <v>701302</v>
      </c>
      <c r="C21" s="194" t="s">
        <v>390</v>
      </c>
      <c r="D21" s="195"/>
      <c r="E21" s="196">
        <v>0</v>
      </c>
      <c r="F21" s="196"/>
      <c r="G21" s="196">
        <v>600</v>
      </c>
      <c r="H21" s="196">
        <v>10300</v>
      </c>
      <c r="I21" s="196">
        <v>10300</v>
      </c>
      <c r="J21" s="197">
        <f t="shared" ref="J21:J41" si="5">I21-H21</f>
        <v>0</v>
      </c>
      <c r="K21" s="198">
        <f t="shared" ref="K21:K41" si="6">(I21-H21)/H21</f>
        <v>0</v>
      </c>
      <c r="L21" s="196"/>
      <c r="M21" s="196"/>
      <c r="N21" s="196"/>
      <c r="O21" s="196"/>
      <c r="P21" s="199"/>
    </row>
    <row r="22" spans="1:19" ht="31.5" customHeight="1" x14ac:dyDescent="0.2">
      <c r="A22" s="193" t="s">
        <v>387</v>
      </c>
      <c r="B22" s="318">
        <v>701406</v>
      </c>
      <c r="C22" s="194" t="s">
        <v>386</v>
      </c>
      <c r="D22" s="195"/>
      <c r="E22" s="196">
        <v>3150</v>
      </c>
      <c r="F22" s="196">
        <v>2700</v>
      </c>
      <c r="G22" s="196">
        <v>2025</v>
      </c>
      <c r="H22" s="196">
        <v>375</v>
      </c>
      <c r="I22" s="196">
        <v>375</v>
      </c>
      <c r="J22" s="197">
        <f t="shared" si="5"/>
        <v>0</v>
      </c>
      <c r="K22" s="198">
        <f t="shared" si="6"/>
        <v>0</v>
      </c>
      <c r="L22" s="196"/>
      <c r="M22" s="196"/>
      <c r="N22" s="196"/>
      <c r="O22" s="196"/>
      <c r="P22" s="199"/>
    </row>
    <row r="23" spans="1:19" ht="31.5" customHeight="1" x14ac:dyDescent="0.2">
      <c r="A23" s="193" t="s">
        <v>377</v>
      </c>
      <c r="B23" s="318">
        <v>701500</v>
      </c>
      <c r="C23" s="194" t="s">
        <v>376</v>
      </c>
      <c r="D23" s="195"/>
      <c r="E23" s="196">
        <v>120</v>
      </c>
      <c r="F23" s="196">
        <v>140</v>
      </c>
      <c r="G23" s="196">
        <v>140</v>
      </c>
      <c r="H23" s="196">
        <v>170</v>
      </c>
      <c r="I23" s="196">
        <v>170</v>
      </c>
      <c r="J23" s="197">
        <f t="shared" si="5"/>
        <v>0</v>
      </c>
      <c r="K23" s="198">
        <f t="shared" si="6"/>
        <v>0</v>
      </c>
      <c r="L23" s="196"/>
      <c r="M23" s="196"/>
      <c r="N23" s="196"/>
      <c r="O23" s="196"/>
      <c r="P23" s="199"/>
    </row>
    <row r="24" spans="1:19" ht="31.5" customHeight="1" x14ac:dyDescent="0.2">
      <c r="A24" s="193" t="s">
        <v>363</v>
      </c>
      <c r="B24" s="318">
        <v>701603</v>
      </c>
      <c r="C24" s="194" t="s">
        <v>362</v>
      </c>
      <c r="D24" s="195"/>
      <c r="E24" s="196">
        <v>6057.8</v>
      </c>
      <c r="F24" s="196">
        <v>6217.38</v>
      </c>
      <c r="G24" s="196">
        <v>6250</v>
      </c>
      <c r="H24" s="196">
        <v>6708.9</v>
      </c>
      <c r="I24" s="196">
        <v>6000</v>
      </c>
      <c r="J24" s="197">
        <f t="shared" si="5"/>
        <v>-708.89999999999964</v>
      </c>
      <c r="K24" s="198">
        <f t="shared" si="6"/>
        <v>-0.10566560837096986</v>
      </c>
      <c r="L24" s="196"/>
      <c r="M24" s="196"/>
      <c r="N24" s="196"/>
      <c r="O24" s="196"/>
      <c r="P24" s="199"/>
    </row>
    <row r="25" spans="1:19" ht="31.5" customHeight="1" x14ac:dyDescent="0.2">
      <c r="A25" s="193" t="s">
        <v>361</v>
      </c>
      <c r="B25" s="318">
        <v>705001</v>
      </c>
      <c r="C25" s="194" t="s">
        <v>360</v>
      </c>
      <c r="D25" s="195"/>
      <c r="E25" s="196">
        <v>114.78</v>
      </c>
      <c r="F25" s="196"/>
      <c r="G25" s="196"/>
      <c r="H25" s="196"/>
      <c r="I25" s="196"/>
      <c r="J25" s="197">
        <f t="shared" si="5"/>
        <v>0</v>
      </c>
      <c r="K25" s="198" t="e">
        <f t="shared" si="6"/>
        <v>#DIV/0!</v>
      </c>
      <c r="L25" s="196"/>
      <c r="M25" s="196"/>
      <c r="N25" s="196"/>
      <c r="O25" s="196"/>
      <c r="P25" s="199"/>
    </row>
    <row r="26" spans="1:19" ht="31.5" customHeight="1" x14ac:dyDescent="0.2">
      <c r="A26" s="193" t="s">
        <v>359</v>
      </c>
      <c r="B26" s="318">
        <v>705101</v>
      </c>
      <c r="C26" s="194" t="s">
        <v>358</v>
      </c>
      <c r="D26" s="195"/>
      <c r="E26" s="196">
        <v>3038.84</v>
      </c>
      <c r="F26" s="196">
        <v>3018.11</v>
      </c>
      <c r="G26" s="196">
        <v>1121.26</v>
      </c>
      <c r="H26" s="196">
        <v>500</v>
      </c>
      <c r="I26" s="196">
        <v>500</v>
      </c>
      <c r="J26" s="197">
        <f t="shared" si="5"/>
        <v>0</v>
      </c>
      <c r="K26" s="198">
        <f t="shared" si="6"/>
        <v>0</v>
      </c>
      <c r="L26" s="196"/>
      <c r="M26" s="196"/>
      <c r="N26" s="196"/>
      <c r="O26" s="196"/>
      <c r="P26" s="199"/>
    </row>
    <row r="27" spans="1:19" ht="31.5" customHeight="1" x14ac:dyDescent="0.2">
      <c r="A27" s="193" t="s">
        <v>349</v>
      </c>
      <c r="B27" s="318">
        <v>705100</v>
      </c>
      <c r="C27" s="194" t="s">
        <v>348</v>
      </c>
      <c r="D27" s="195"/>
      <c r="E27" s="196">
        <v>100.79</v>
      </c>
      <c r="F27" s="196">
        <v>485.37</v>
      </c>
      <c r="G27" s="196">
        <v>153.5</v>
      </c>
      <c r="H27" s="196">
        <v>145</v>
      </c>
      <c r="I27" s="196">
        <v>145</v>
      </c>
      <c r="J27" s="197">
        <f t="shared" si="5"/>
        <v>0</v>
      </c>
      <c r="K27" s="198">
        <f t="shared" si="6"/>
        <v>0</v>
      </c>
      <c r="L27" s="196"/>
      <c r="M27" s="196"/>
      <c r="N27" s="196"/>
      <c r="O27" s="196"/>
      <c r="P27" s="199"/>
    </row>
    <row r="28" spans="1:19" ht="31.5" customHeight="1" x14ac:dyDescent="0.2">
      <c r="A28" s="193" t="s">
        <v>309</v>
      </c>
      <c r="B28" s="318">
        <v>706100</v>
      </c>
      <c r="C28" s="194" t="s">
        <v>308</v>
      </c>
      <c r="D28" s="195"/>
      <c r="E28" s="196"/>
      <c r="F28" s="196"/>
      <c r="G28" s="196">
        <v>118.2</v>
      </c>
      <c r="H28" s="196"/>
      <c r="I28" s="196"/>
      <c r="J28" s="197">
        <f t="shared" si="5"/>
        <v>0</v>
      </c>
      <c r="K28" s="198" t="e">
        <f t="shared" si="6"/>
        <v>#DIV/0!</v>
      </c>
      <c r="L28" s="196"/>
      <c r="M28" s="196"/>
      <c r="N28" s="196"/>
      <c r="O28" s="196"/>
      <c r="P28" s="199"/>
    </row>
    <row r="29" spans="1:19" ht="31.5" customHeight="1" x14ac:dyDescent="0.2">
      <c r="A29" s="193" t="s">
        <v>276</v>
      </c>
      <c r="B29" s="319">
        <v>706605</v>
      </c>
      <c r="C29" s="194" t="s">
        <v>275</v>
      </c>
      <c r="D29" s="195"/>
      <c r="E29" s="196">
        <v>8102.5</v>
      </c>
      <c r="F29" s="196">
        <v>7300</v>
      </c>
      <c r="G29" s="196">
        <v>8050</v>
      </c>
      <c r="H29" s="196">
        <v>500</v>
      </c>
      <c r="I29" s="196">
        <v>500</v>
      </c>
      <c r="J29" s="197">
        <f t="shared" si="5"/>
        <v>0</v>
      </c>
      <c r="K29" s="198">
        <f t="shared" si="6"/>
        <v>0</v>
      </c>
      <c r="L29" s="196"/>
      <c r="M29" s="196"/>
      <c r="N29" s="196"/>
      <c r="O29" s="196"/>
      <c r="P29" s="199"/>
    </row>
    <row r="30" spans="1:19" ht="31.5" customHeight="1" x14ac:dyDescent="0.2">
      <c r="A30" s="193" t="s">
        <v>260</v>
      </c>
      <c r="B30" s="318">
        <v>707000</v>
      </c>
      <c r="C30" s="194" t="s">
        <v>259</v>
      </c>
      <c r="D30" s="195"/>
      <c r="E30" s="196">
        <v>891</v>
      </c>
      <c r="F30" s="196">
        <v>891</v>
      </c>
      <c r="G30" s="196">
        <v>891</v>
      </c>
      <c r="H30" s="196"/>
      <c r="I30" s="196"/>
      <c r="J30" s="197">
        <f t="shared" si="5"/>
        <v>0</v>
      </c>
      <c r="K30" s="198" t="e">
        <f t="shared" si="6"/>
        <v>#DIV/0!</v>
      </c>
      <c r="L30" s="196"/>
      <c r="M30" s="196"/>
      <c r="N30" s="196"/>
      <c r="O30" s="196"/>
      <c r="P30" s="199"/>
    </row>
    <row r="31" spans="1:19" ht="31.5" customHeight="1" x14ac:dyDescent="0.2">
      <c r="A31" s="193" t="s">
        <v>258</v>
      </c>
      <c r="B31" s="318">
        <v>707101</v>
      </c>
      <c r="C31" s="194" t="s">
        <v>257</v>
      </c>
      <c r="D31" s="195"/>
      <c r="E31" s="196"/>
      <c r="F31" s="196"/>
      <c r="G31" s="196">
        <v>2083.33</v>
      </c>
      <c r="H31" s="196">
        <v>1215</v>
      </c>
      <c r="I31" s="196">
        <v>798</v>
      </c>
      <c r="J31" s="197">
        <f t="shared" si="5"/>
        <v>-417</v>
      </c>
      <c r="K31" s="198">
        <f t="shared" si="6"/>
        <v>-0.34320987654320989</v>
      </c>
      <c r="L31" s="196"/>
      <c r="M31" s="196"/>
      <c r="N31" s="196"/>
      <c r="O31" s="196"/>
      <c r="P31" s="199"/>
    </row>
    <row r="32" spans="1:19" ht="31.5" customHeight="1" x14ac:dyDescent="0.2">
      <c r="A32" s="193" t="s">
        <v>232</v>
      </c>
      <c r="B32" s="318">
        <v>707152</v>
      </c>
      <c r="C32" s="194" t="s">
        <v>231</v>
      </c>
      <c r="D32" s="195"/>
      <c r="E32" s="196">
        <v>959.76</v>
      </c>
      <c r="F32" s="196">
        <v>959.76</v>
      </c>
      <c r="G32" s="196">
        <v>1015.75</v>
      </c>
      <c r="H32" s="196">
        <v>960</v>
      </c>
      <c r="I32" s="196">
        <v>960</v>
      </c>
      <c r="J32" s="197">
        <f t="shared" si="5"/>
        <v>0</v>
      </c>
      <c r="K32" s="198">
        <f t="shared" si="6"/>
        <v>0</v>
      </c>
      <c r="L32" s="196"/>
      <c r="M32" s="196"/>
      <c r="N32" s="196"/>
      <c r="O32" s="196"/>
      <c r="P32" s="199"/>
    </row>
    <row r="33" spans="1:16" ht="31.5" customHeight="1" x14ac:dyDescent="0.2">
      <c r="A33" s="193" t="s">
        <v>230</v>
      </c>
      <c r="B33" s="318">
        <v>707151</v>
      </c>
      <c r="C33" s="194" t="s">
        <v>15</v>
      </c>
      <c r="D33" s="195"/>
      <c r="E33" s="196">
        <v>1861.56</v>
      </c>
      <c r="F33" s="196">
        <v>1127.3</v>
      </c>
      <c r="G33" s="196">
        <v>1020</v>
      </c>
      <c r="H33" s="196">
        <f>85*12</f>
        <v>1020</v>
      </c>
      <c r="I33" s="196">
        <v>1020</v>
      </c>
      <c r="J33" s="197">
        <f t="shared" si="5"/>
        <v>0</v>
      </c>
      <c r="K33" s="198">
        <f t="shared" si="6"/>
        <v>0</v>
      </c>
      <c r="L33" s="196"/>
      <c r="M33" s="196"/>
      <c r="N33" s="196"/>
      <c r="O33" s="196"/>
      <c r="P33" s="199"/>
    </row>
    <row r="34" spans="1:16" ht="31.5" customHeight="1" x14ac:dyDescent="0.2">
      <c r="A34" s="193" t="s">
        <v>229</v>
      </c>
      <c r="B34" s="318">
        <v>707151</v>
      </c>
      <c r="C34" s="194" t="s">
        <v>16</v>
      </c>
      <c r="D34" s="195"/>
      <c r="E34" s="196">
        <v>133.87</v>
      </c>
      <c r="F34" s="196">
        <v>30.27</v>
      </c>
      <c r="G34" s="196">
        <v>13.15</v>
      </c>
      <c r="H34" s="196">
        <v>25</v>
      </c>
      <c r="I34" s="196">
        <v>25</v>
      </c>
      <c r="J34" s="197">
        <f t="shared" si="5"/>
        <v>0</v>
      </c>
      <c r="K34" s="198">
        <f t="shared" si="6"/>
        <v>0</v>
      </c>
      <c r="L34" s="196"/>
      <c r="M34" s="196"/>
      <c r="N34" s="196"/>
      <c r="O34" s="196"/>
      <c r="P34" s="199"/>
    </row>
    <row r="35" spans="1:16" ht="31.5" customHeight="1" x14ac:dyDescent="0.2">
      <c r="A35" s="193" t="s">
        <v>196</v>
      </c>
      <c r="B35" s="318">
        <v>707309</v>
      </c>
      <c r="C35" s="194" t="s">
        <v>19</v>
      </c>
      <c r="D35" s="195"/>
      <c r="E35" s="196">
        <v>366.92</v>
      </c>
      <c r="F35" s="196">
        <v>126.28</v>
      </c>
      <c r="G35" s="196">
        <v>168.98</v>
      </c>
      <c r="H35" s="196"/>
      <c r="I35" s="196"/>
      <c r="J35" s="197">
        <f t="shared" si="5"/>
        <v>0</v>
      </c>
      <c r="K35" s="198" t="e">
        <f t="shared" si="6"/>
        <v>#DIV/0!</v>
      </c>
      <c r="L35" s="196"/>
      <c r="M35" s="196"/>
      <c r="N35" s="196"/>
      <c r="O35" s="196"/>
      <c r="P35" s="199"/>
    </row>
    <row r="36" spans="1:16" ht="31.5" customHeight="1" x14ac:dyDescent="0.2">
      <c r="A36" s="193" t="s">
        <v>177</v>
      </c>
      <c r="B36" s="318">
        <v>707505</v>
      </c>
      <c r="C36" s="194" t="s">
        <v>176</v>
      </c>
      <c r="D36" s="195"/>
      <c r="E36" s="196"/>
      <c r="F36" s="196">
        <v>8.9500000000000011</v>
      </c>
      <c r="G36" s="196"/>
      <c r="H36" s="196"/>
      <c r="I36" s="196"/>
      <c r="J36" s="197">
        <f t="shared" si="5"/>
        <v>0</v>
      </c>
      <c r="K36" s="198" t="e">
        <f t="shared" si="6"/>
        <v>#DIV/0!</v>
      </c>
      <c r="L36" s="196"/>
      <c r="M36" s="196"/>
      <c r="N36" s="196"/>
      <c r="O36" s="196"/>
      <c r="P36" s="199"/>
    </row>
    <row r="37" spans="1:16" ht="31.5" customHeight="1" x14ac:dyDescent="0.2">
      <c r="A37" s="193"/>
      <c r="B37" s="193"/>
      <c r="C37" s="194"/>
      <c r="D37" s="195"/>
      <c r="E37" s="196"/>
      <c r="F37" s="196"/>
      <c r="G37" s="196"/>
      <c r="H37" s="196"/>
      <c r="I37" s="196"/>
      <c r="J37" s="197">
        <f t="shared" si="5"/>
        <v>0</v>
      </c>
      <c r="K37" s="198" t="e">
        <f t="shared" si="6"/>
        <v>#DIV/0!</v>
      </c>
      <c r="L37" s="196"/>
      <c r="M37" s="196"/>
      <c r="N37" s="196"/>
      <c r="O37" s="196"/>
      <c r="P37" s="199"/>
    </row>
    <row r="38" spans="1:16" ht="31.5" customHeight="1" x14ac:dyDescent="0.2">
      <c r="A38" s="193"/>
      <c r="B38" s="193"/>
      <c r="C38" s="194"/>
      <c r="D38" s="195"/>
      <c r="E38" s="196"/>
      <c r="F38" s="196"/>
      <c r="G38" s="196"/>
      <c r="H38" s="196"/>
      <c r="I38" s="196"/>
      <c r="J38" s="197">
        <f t="shared" si="5"/>
        <v>0</v>
      </c>
      <c r="K38" s="198" t="e">
        <f t="shared" si="6"/>
        <v>#DIV/0!</v>
      </c>
      <c r="L38" s="196"/>
      <c r="M38" s="196"/>
      <c r="N38" s="196"/>
      <c r="O38" s="196"/>
      <c r="P38" s="199"/>
    </row>
    <row r="39" spans="1:16" ht="31.5" customHeight="1" x14ac:dyDescent="0.2">
      <c r="A39" s="193"/>
      <c r="B39" s="193"/>
      <c r="C39" s="194"/>
      <c r="D39" s="195"/>
      <c r="E39" s="196"/>
      <c r="F39" s="196"/>
      <c r="G39" s="196"/>
      <c r="H39" s="196"/>
      <c r="I39" s="196"/>
      <c r="J39" s="197">
        <f t="shared" si="5"/>
        <v>0</v>
      </c>
      <c r="K39" s="198" t="e">
        <f t="shared" si="6"/>
        <v>#DIV/0!</v>
      </c>
      <c r="L39" s="196"/>
      <c r="M39" s="196"/>
      <c r="N39" s="196"/>
      <c r="O39" s="196"/>
      <c r="P39" s="199"/>
    </row>
    <row r="40" spans="1:16" ht="31.5" customHeight="1" x14ac:dyDescent="0.2">
      <c r="A40" s="193"/>
      <c r="B40" s="193"/>
      <c r="C40" s="194"/>
      <c r="D40" s="195"/>
      <c r="E40" s="196"/>
      <c r="F40" s="196"/>
      <c r="G40" s="196"/>
      <c r="H40" s="196"/>
      <c r="I40" s="196"/>
      <c r="J40" s="197">
        <f t="shared" si="5"/>
        <v>0</v>
      </c>
      <c r="K40" s="198" t="e">
        <f t="shared" si="6"/>
        <v>#DIV/0!</v>
      </c>
      <c r="L40" s="196"/>
      <c r="M40" s="196"/>
      <c r="N40" s="196"/>
      <c r="O40" s="196"/>
      <c r="P40" s="199"/>
    </row>
    <row r="41" spans="1:16" ht="13.5" thickBot="1" x14ac:dyDescent="0.25">
      <c r="A41" s="200"/>
      <c r="B41" s="200"/>
      <c r="C41" s="177" t="s">
        <v>22</v>
      </c>
      <c r="D41" s="201"/>
      <c r="E41" s="180">
        <f>SUM(E21:E40)</f>
        <v>24897.819999999996</v>
      </c>
      <c r="F41" s="180">
        <f>SUM(F21:F40)</f>
        <v>23004.42</v>
      </c>
      <c r="G41" s="180">
        <f>SUM(G21:G40)</f>
        <v>23650.170000000002</v>
      </c>
      <c r="H41" s="180">
        <f>SUM(H21:H40)</f>
        <v>21918.9</v>
      </c>
      <c r="I41" s="180">
        <f>SUM(I21:I40)</f>
        <v>20793</v>
      </c>
      <c r="J41" s="180">
        <f t="shared" si="5"/>
        <v>-1125.9000000000015</v>
      </c>
      <c r="K41" s="181">
        <f t="shared" si="6"/>
        <v>-5.1366628799802971E-2</v>
      </c>
      <c r="L41" s="180">
        <f>SUM(L21:L40)</f>
        <v>0</v>
      </c>
      <c r="M41" s="180">
        <f>SUM(M21:M40)</f>
        <v>0</v>
      </c>
      <c r="N41" s="180">
        <f>SUM(N21:N40)</f>
        <v>0</v>
      </c>
      <c r="O41" s="180">
        <f>SUM(O21:O40)</f>
        <v>0</v>
      </c>
      <c r="P41" s="202"/>
    </row>
    <row r="42" spans="1:16" ht="13.5" thickBot="1" x14ac:dyDescent="0.25">
      <c r="A42" s="203"/>
      <c r="B42" s="203"/>
      <c r="C42" s="204" t="s">
        <v>702</v>
      </c>
      <c r="D42" s="205"/>
      <c r="E42" s="206">
        <f>E18+E41</f>
        <v>48520.25</v>
      </c>
      <c r="F42" s="206">
        <f>F18+F41</f>
        <v>32334.05</v>
      </c>
      <c r="G42" s="206">
        <f>G18+G41</f>
        <v>35749.270000000004</v>
      </c>
      <c r="H42" s="206">
        <f>H18+H41</f>
        <v>31918.9</v>
      </c>
      <c r="I42" s="206">
        <f>I18+I41</f>
        <v>40793</v>
      </c>
      <c r="J42" s="206">
        <f>I42-H42</f>
        <v>8874.0999999999985</v>
      </c>
      <c r="K42" s="207">
        <f>(I42-H42)/H42</f>
        <v>0.27802023252681007</v>
      </c>
      <c r="L42" s="206">
        <f>L18+L41</f>
        <v>0</v>
      </c>
      <c r="M42" s="206">
        <f>M18+M41</f>
        <v>0</v>
      </c>
      <c r="N42" s="206">
        <f>N18+N41</f>
        <v>0</v>
      </c>
      <c r="O42" s="206">
        <f>O18+O41</f>
        <v>0</v>
      </c>
      <c r="P42" s="208"/>
    </row>
    <row r="43" spans="1:16" x14ac:dyDescent="0.2">
      <c r="A43" s="203"/>
      <c r="B43" s="203"/>
      <c r="C43" s="209" t="s">
        <v>698</v>
      </c>
      <c r="D43" s="210"/>
      <c r="E43" s="211"/>
      <c r="F43" s="211"/>
      <c r="G43" s="211"/>
      <c r="H43" s="212">
        <v>0</v>
      </c>
      <c r="I43" s="213"/>
      <c r="J43" s="213"/>
      <c r="K43" s="214"/>
      <c r="L43" s="213"/>
      <c r="M43" s="213"/>
      <c r="N43" s="213"/>
      <c r="O43" s="213"/>
      <c r="P43" s="215"/>
    </row>
    <row r="44" spans="1:16" x14ac:dyDescent="0.2">
      <c r="A44" s="203"/>
      <c r="B44" s="203"/>
      <c r="C44" s="183" t="s">
        <v>699</v>
      </c>
      <c r="D44" s="184"/>
      <c r="E44" s="216"/>
      <c r="F44" s="216"/>
      <c r="G44" s="216"/>
      <c r="H44" s="185">
        <v>29502</v>
      </c>
      <c r="I44" s="217"/>
      <c r="J44" s="217"/>
      <c r="K44" s="218"/>
      <c r="L44" s="217"/>
      <c r="M44" s="217"/>
      <c r="N44" s="217"/>
      <c r="O44" s="217"/>
      <c r="P44" s="219"/>
    </row>
    <row r="45" spans="1:16" x14ac:dyDescent="0.2">
      <c r="A45" s="203"/>
      <c r="B45" s="203"/>
      <c r="C45" s="183" t="s">
        <v>700</v>
      </c>
      <c r="D45" s="184"/>
      <c r="E45" s="216"/>
      <c r="F45" s="216"/>
      <c r="G45" s="216"/>
      <c r="H45" s="220">
        <f>H43-H10</f>
        <v>0</v>
      </c>
      <c r="I45" s="217"/>
      <c r="J45" s="217"/>
      <c r="K45" s="218"/>
      <c r="L45" s="217"/>
      <c r="M45" s="217"/>
      <c r="N45" s="217"/>
      <c r="O45" s="217"/>
      <c r="P45" s="219"/>
    </row>
    <row r="46" spans="1:16" x14ac:dyDescent="0.2">
      <c r="A46" s="221"/>
      <c r="B46" s="221"/>
      <c r="C46" s="183" t="s">
        <v>701</v>
      </c>
      <c r="D46" s="184"/>
      <c r="E46" s="217"/>
      <c r="F46" s="217"/>
      <c r="G46" s="217"/>
      <c r="H46" s="220">
        <f>H44-H42</f>
        <v>-2416.9000000000015</v>
      </c>
      <c r="I46" s="217"/>
      <c r="J46" s="217"/>
      <c r="K46" s="218"/>
      <c r="L46" s="217"/>
      <c r="M46" s="217"/>
      <c r="N46" s="217"/>
      <c r="O46" s="217"/>
      <c r="P46" s="219"/>
    </row>
    <row r="48" spans="1:16" s="157" customFormat="1" ht="27" customHeight="1" thickBot="1" x14ac:dyDescent="0.25">
      <c r="A48" s="158" t="s">
        <v>687</v>
      </c>
      <c r="B48" s="158" t="s">
        <v>687</v>
      </c>
      <c r="M48" s="406" t="s">
        <v>690</v>
      </c>
      <c r="N48" s="406"/>
      <c r="O48" s="406"/>
    </row>
    <row r="49" spans="1:15" s="157" customFormat="1" ht="51.75" thickBot="1" x14ac:dyDescent="0.25">
      <c r="A49" s="225"/>
      <c r="B49" s="225"/>
      <c r="C49" s="229" t="s">
        <v>633</v>
      </c>
      <c r="D49" s="249"/>
      <c r="E49" s="234" t="s">
        <v>749</v>
      </c>
      <c r="F49" s="234" t="s">
        <v>750</v>
      </c>
      <c r="G49" s="234" t="s">
        <v>751</v>
      </c>
      <c r="H49" s="294" t="s">
        <v>747</v>
      </c>
      <c r="I49" s="234" t="s">
        <v>748</v>
      </c>
      <c r="J49" s="234" t="s">
        <v>745</v>
      </c>
      <c r="K49" s="295" t="s">
        <v>641</v>
      </c>
      <c r="M49" s="145"/>
      <c r="N49" s="145" t="s">
        <v>693</v>
      </c>
      <c r="O49" s="145" t="s">
        <v>694</v>
      </c>
    </row>
    <row r="50" spans="1:15" s="157" customFormat="1" x14ac:dyDescent="0.2">
      <c r="A50" s="225"/>
      <c r="B50" s="225"/>
      <c r="C50" s="194" t="s">
        <v>688</v>
      </c>
      <c r="D50" s="195"/>
      <c r="E50" s="226"/>
      <c r="F50" s="226"/>
      <c r="G50" s="226"/>
      <c r="H50" s="226"/>
      <c r="I50" s="226"/>
      <c r="J50" s="227">
        <f>I50-H50</f>
        <v>0</v>
      </c>
      <c r="K50" s="228" t="e">
        <f>(I50-H50)/H50</f>
        <v>#DIV/0!</v>
      </c>
      <c r="M50" s="146" t="s">
        <v>691</v>
      </c>
      <c r="N50" s="146">
        <v>2</v>
      </c>
      <c r="O50" s="146">
        <v>0</v>
      </c>
    </row>
    <row r="51" spans="1:15" s="157" customFormat="1" x14ac:dyDescent="0.2">
      <c r="M51" s="146" t="s">
        <v>692</v>
      </c>
      <c r="N51" s="146"/>
      <c r="O51" s="146"/>
    </row>
    <row r="52" spans="1:15" s="157" customFormat="1" x14ac:dyDescent="0.2">
      <c r="M52" s="146" t="s">
        <v>23</v>
      </c>
      <c r="N52" s="146">
        <f>SUM(N50:N51)</f>
        <v>2</v>
      </c>
      <c r="O52" s="146">
        <f>SUM(O50:O51)</f>
        <v>0</v>
      </c>
    </row>
    <row r="53" spans="1:15" s="157" customFormat="1" x14ac:dyDescent="0.2"/>
    <row r="54" spans="1:15" s="157" customFormat="1" x14ac:dyDescent="0.2"/>
    <row r="55" spans="1:15" s="157" customFormat="1" x14ac:dyDescent="0.2"/>
  </sheetData>
  <mergeCells count="2">
    <mergeCell ref="L3:N3"/>
    <mergeCell ref="M48:O48"/>
  </mergeCells>
  <pageMargins left="0.25" right="0.25" top="0.67708333333333304" bottom="0.35416666666666702" header="0.3" footer="0.3"/>
  <pageSetup paperSize="5" scale="70" orientation="landscape" r:id="rId1"/>
  <headerFooter>
    <oddHeader>&amp;C&amp;"Calibri,Bold"&amp;A</oddHeader>
    <oddFooter>&amp;Rprinted: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69</vt:i4>
      </vt:variant>
    </vt:vector>
  </HeadingPairs>
  <TitlesOfParts>
    <vt:vector size="112" baseType="lpstr">
      <vt:lpstr>Instructions</vt:lpstr>
      <vt:lpstr>Narrative</vt:lpstr>
      <vt:lpstr>MGMT Feedback</vt:lpstr>
      <vt:lpstr>Athletics Data and Benchmarks</vt:lpstr>
      <vt:lpstr>Athletics Summary by Index</vt:lpstr>
      <vt:lpstr>ATHL40</vt:lpstr>
      <vt:lpstr>ATHL42</vt:lpstr>
      <vt:lpstr>ATHL43</vt:lpstr>
      <vt:lpstr>ATHL44</vt:lpstr>
      <vt:lpstr>ATHL45</vt:lpstr>
      <vt:lpstr>ATHL46</vt:lpstr>
      <vt:lpstr>ATHL47</vt:lpstr>
      <vt:lpstr>ATHL48</vt:lpstr>
      <vt:lpstr>ATHL49</vt:lpstr>
      <vt:lpstr>ATHL50</vt:lpstr>
      <vt:lpstr>ATHL53</vt:lpstr>
      <vt:lpstr>MENS40</vt:lpstr>
      <vt:lpstr>MENS41</vt:lpstr>
      <vt:lpstr>MENS42</vt:lpstr>
      <vt:lpstr>MENS43</vt:lpstr>
      <vt:lpstr>MENS44</vt:lpstr>
      <vt:lpstr>MENS46</vt:lpstr>
      <vt:lpstr>MENS50</vt:lpstr>
      <vt:lpstr>WMNS41</vt:lpstr>
      <vt:lpstr>WMNS42</vt:lpstr>
      <vt:lpstr>WMNS44</vt:lpstr>
      <vt:lpstr>WMNS45</vt:lpstr>
      <vt:lpstr>WMNS46</vt:lpstr>
      <vt:lpstr>WMNS47</vt:lpstr>
      <vt:lpstr>WMNS48</vt:lpstr>
      <vt:lpstr>WMNS50</vt:lpstr>
      <vt:lpstr>WMNS51</vt:lpstr>
      <vt:lpstr>FT Salaries</vt:lpstr>
      <vt:lpstr>Strategic Funding request</vt:lpstr>
      <vt:lpstr>Reduction worksheet</vt:lpstr>
      <vt:lpstr>Capital Equipment $1,000 +</vt:lpstr>
      <vt:lpstr>Equipment below $1,000</vt:lpstr>
      <vt:lpstr>Revenue Summary Other Sources</vt:lpstr>
      <vt:lpstr>Division Worksheet</vt:lpstr>
      <vt:lpstr>Revised One-Time &amp; Capital</vt:lpstr>
      <vt:lpstr>Account Codes</vt:lpstr>
      <vt:lpstr>DeptListing</vt:lpstr>
      <vt:lpstr>StratObjectives</vt:lpstr>
      <vt:lpstr>Dept1</vt:lpstr>
      <vt:lpstr>Depts</vt:lpstr>
      <vt:lpstr>Depts.</vt:lpstr>
      <vt:lpstr>ATHL40!Print_Area</vt:lpstr>
      <vt:lpstr>ATHL42!Print_Area</vt:lpstr>
      <vt:lpstr>ATHL43!Print_Area</vt:lpstr>
      <vt:lpstr>ATHL44!Print_Area</vt:lpstr>
      <vt:lpstr>ATHL45!Print_Area</vt:lpstr>
      <vt:lpstr>ATHL46!Print_Area</vt:lpstr>
      <vt:lpstr>ATHL47!Print_Area</vt:lpstr>
      <vt:lpstr>ATHL48!Print_Area</vt:lpstr>
      <vt:lpstr>ATHL49!Print_Area</vt:lpstr>
      <vt:lpstr>ATHL50!Print_Area</vt:lpstr>
      <vt:lpstr>ATHL53!Print_Area</vt:lpstr>
      <vt:lpstr>'Athletics Data and Benchmarks'!Print_Area</vt:lpstr>
      <vt:lpstr>'Athletics Summary by Index'!Print_Area</vt:lpstr>
      <vt:lpstr>'Capital Equipment $1,000 +'!Print_Area</vt:lpstr>
      <vt:lpstr>'Equipment below $1,000'!Print_Area</vt:lpstr>
      <vt:lpstr>'FT Salaries'!Print_Area</vt:lpstr>
      <vt:lpstr>Instructions!Print_Area</vt:lpstr>
      <vt:lpstr>MENS40!Print_Area</vt:lpstr>
      <vt:lpstr>MENS41!Print_Area</vt:lpstr>
      <vt:lpstr>MENS42!Print_Area</vt:lpstr>
      <vt:lpstr>MENS43!Print_Area</vt:lpstr>
      <vt:lpstr>MENS44!Print_Area</vt:lpstr>
      <vt:lpstr>MENS46!Print_Area</vt:lpstr>
      <vt:lpstr>MENS50!Print_Area</vt:lpstr>
      <vt:lpstr>Narrative!Print_Area</vt:lpstr>
      <vt:lpstr>'Revenue Summary Other Sources'!Print_Area</vt:lpstr>
      <vt:lpstr>'Strategic Funding request'!Print_Area</vt:lpstr>
      <vt:lpstr>WMNS41!Print_Area</vt:lpstr>
      <vt:lpstr>WMNS42!Print_Area</vt:lpstr>
      <vt:lpstr>WMNS44!Print_Area</vt:lpstr>
      <vt:lpstr>WMNS45!Print_Area</vt:lpstr>
      <vt:lpstr>WMNS46!Print_Area</vt:lpstr>
      <vt:lpstr>WMNS47!Print_Area</vt:lpstr>
      <vt:lpstr>WMNS48!Print_Area</vt:lpstr>
      <vt:lpstr>WMNS50!Print_Area</vt:lpstr>
      <vt:lpstr>WMNS51!Print_Area</vt:lpstr>
      <vt:lpstr>ATHL40!Print_Titles</vt:lpstr>
      <vt:lpstr>ATHL42!Print_Titles</vt:lpstr>
      <vt:lpstr>ATHL43!Print_Titles</vt:lpstr>
      <vt:lpstr>ATHL44!Print_Titles</vt:lpstr>
      <vt:lpstr>ATHL45!Print_Titles</vt:lpstr>
      <vt:lpstr>ATHL46!Print_Titles</vt:lpstr>
      <vt:lpstr>ATHL47!Print_Titles</vt:lpstr>
      <vt:lpstr>ATHL48!Print_Titles</vt:lpstr>
      <vt:lpstr>ATHL49!Print_Titles</vt:lpstr>
      <vt:lpstr>ATHL50!Print_Titles</vt:lpstr>
      <vt:lpstr>ATHL53!Print_Titles</vt:lpstr>
      <vt:lpstr>'Athletics Summary by Index'!Print_Titles</vt:lpstr>
      <vt:lpstr>'FT Salaries'!Print_Titles</vt:lpstr>
      <vt:lpstr>MENS40!Print_Titles</vt:lpstr>
      <vt:lpstr>MENS41!Print_Titles</vt:lpstr>
      <vt:lpstr>MENS42!Print_Titles</vt:lpstr>
      <vt:lpstr>MENS43!Print_Titles</vt:lpstr>
      <vt:lpstr>MENS44!Print_Titles</vt:lpstr>
      <vt:lpstr>MENS46!Print_Titles</vt:lpstr>
      <vt:lpstr>MENS50!Print_Titles</vt:lpstr>
      <vt:lpstr>WMNS41!Print_Titles</vt:lpstr>
      <vt:lpstr>WMNS42!Print_Titles</vt:lpstr>
      <vt:lpstr>WMNS44!Print_Titles</vt:lpstr>
      <vt:lpstr>WMNS45!Print_Titles</vt:lpstr>
      <vt:lpstr>WMNS46!Print_Titles</vt:lpstr>
      <vt:lpstr>WMNS47!Print_Titles</vt:lpstr>
      <vt:lpstr>WMNS48!Print_Titles</vt:lpstr>
      <vt:lpstr>WMNS50!Print_Titles</vt:lpstr>
      <vt:lpstr>WMNS51!Print_Titles</vt:lpstr>
      <vt:lpstr>StratObj</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Bucher, Lisa (Budget)</dc:creator>
  <cp:lastModifiedBy>Lisa</cp:lastModifiedBy>
  <cp:lastPrinted>2019-01-15T20:39:43Z</cp:lastPrinted>
  <dcterms:created xsi:type="dcterms:W3CDTF">2017-11-03T12:04:10Z</dcterms:created>
  <dcterms:modified xsi:type="dcterms:W3CDTF">2019-02-05T14:32:19Z</dcterms:modified>
</cp:coreProperties>
</file>