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"/>
    </mc:Choice>
  </mc:AlternateContent>
  <xr:revisionPtr revIDLastSave="0" documentId="13_ncr:1_{8B7B2C52-A19E-41C2-8268-2F222C2D0368}" xr6:coauthVersionLast="47" xr6:coauthVersionMax="47" xr10:uidLastSave="{00000000-0000-0000-0000-000000000000}"/>
  <bookViews>
    <workbookView xWindow="32811" yWindow="-103" windowWidth="33120" windowHeight="18120" tabRatio="616" xr2:uid="{00000000-000D-0000-FFFF-FFFF00000000}"/>
  </bookViews>
  <sheets>
    <sheet name="SP Review" sheetId="7" r:id="rId1"/>
    <sheet name="SP excludes fringe from rev" sheetId="3" state="hidden" r:id="rId2"/>
    <sheet name="SP with fringe" sheetId="2" state="hidden" r:id="rId3"/>
    <sheet name="Per FTE" sheetId="6" state="hidden" r:id="rId4"/>
  </sheets>
  <definedNames>
    <definedName name="_xlnm.Print_Area" localSheetId="0">'SP Review'!$A$1:$X$144</definedName>
    <definedName name="_xlnm.Print_Titles" localSheetId="0">'SP Review'!$A:$D,'SP Review'!$1:$6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25" i="7" l="1"/>
  <c r="V125" i="7"/>
  <c r="X20" i="7"/>
  <c r="X27" i="7" s="1"/>
  <c r="X31" i="7" s="1"/>
  <c r="X125" i="7"/>
  <c r="X95" i="7"/>
  <c r="X72" i="7"/>
  <c r="X65" i="7"/>
  <c r="X50" i="7"/>
  <c r="X53" i="7" s="1"/>
  <c r="X56" i="7" s="1"/>
  <c r="W9" i="6"/>
  <c r="V9" i="6"/>
  <c r="W9" i="2"/>
  <c r="V9" i="2"/>
  <c r="W19" i="3"/>
  <c r="V19" i="3"/>
  <c r="W3" i="6"/>
  <c r="W12" i="6"/>
  <c r="W11" i="6"/>
  <c r="W10" i="6"/>
  <c r="W8" i="6"/>
  <c r="V12" i="6"/>
  <c r="V11" i="6"/>
  <c r="V10" i="6"/>
  <c r="V8" i="6"/>
  <c r="M13" i="6"/>
  <c r="N13" i="6"/>
  <c r="O13" i="6"/>
  <c r="P13" i="6"/>
  <c r="Q13" i="6"/>
  <c r="T13" i="6"/>
  <c r="U13" i="6"/>
  <c r="F13" i="6"/>
  <c r="G13" i="6"/>
  <c r="H13" i="6"/>
  <c r="I13" i="6"/>
  <c r="J13" i="6"/>
  <c r="K13" i="6"/>
  <c r="E13" i="6"/>
  <c r="V23" i="6"/>
  <c r="V22" i="6"/>
  <c r="W12" i="2"/>
  <c r="V12" i="2"/>
  <c r="W11" i="2"/>
  <c r="V11" i="2"/>
  <c r="W10" i="2"/>
  <c r="V10" i="2"/>
  <c r="W8" i="2"/>
  <c r="V8" i="2"/>
  <c r="W3" i="2"/>
  <c r="W37" i="3"/>
  <c r="V37" i="3"/>
  <c r="W36" i="3"/>
  <c r="V36" i="3"/>
  <c r="W25" i="3"/>
  <c r="V25" i="3"/>
  <c r="W24" i="3"/>
  <c r="V24" i="3"/>
  <c r="W22" i="3"/>
  <c r="V22" i="3"/>
  <c r="W21" i="3"/>
  <c r="V21" i="3"/>
  <c r="W17" i="3"/>
  <c r="W16" i="3"/>
  <c r="W15" i="3"/>
  <c r="V17" i="3"/>
  <c r="V16" i="3"/>
  <c r="V15" i="3"/>
  <c r="W14" i="3"/>
  <c r="V14" i="3"/>
  <c r="W13" i="3"/>
  <c r="V13" i="3"/>
  <c r="W12" i="3"/>
  <c r="V12" i="3"/>
  <c r="W11" i="3"/>
  <c r="V11" i="3"/>
  <c r="W10" i="3"/>
  <c r="V10" i="3"/>
  <c r="W9" i="3"/>
  <c r="V9" i="3"/>
  <c r="W8" i="3"/>
  <c r="W3" i="3"/>
  <c r="V8" i="3"/>
  <c r="J18" i="3"/>
  <c r="V18" i="3" l="1"/>
  <c r="V23" i="3"/>
  <c r="X76" i="7"/>
  <c r="X78" i="7" s="1"/>
  <c r="X127" i="7" s="1"/>
  <c r="X29" i="7"/>
  <c r="V38" i="3"/>
  <c r="V26" i="3"/>
  <c r="W13" i="6"/>
  <c r="V13" i="6"/>
  <c r="V13" i="2"/>
  <c r="V27" i="3" l="1"/>
  <c r="V33" i="3" s="1"/>
  <c r="V15" i="2"/>
  <c r="V17" i="2"/>
  <c r="V16" i="2"/>
  <c r="V95" i="7"/>
  <c r="V72" i="7"/>
  <c r="V65" i="7"/>
  <c r="V50" i="7"/>
  <c r="V53" i="7" s="1"/>
  <c r="V56" i="7" s="1"/>
  <c r="V17" i="6" s="1"/>
  <c r="V31" i="6" s="1"/>
  <c r="V35" i="7"/>
  <c r="V24" i="6" s="1"/>
  <c r="V27" i="7"/>
  <c r="V29" i="7" s="1"/>
  <c r="U30" i="6"/>
  <c r="U29" i="6"/>
  <c r="U18" i="3"/>
  <c r="U38" i="3"/>
  <c r="U26" i="3"/>
  <c r="U23" i="3"/>
  <c r="U35" i="7"/>
  <c r="V39" i="3" l="1"/>
  <c r="V31" i="3"/>
  <c r="V32" i="3"/>
  <c r="V28" i="6"/>
  <c r="V29" i="6"/>
  <c r="V30" i="6"/>
  <c r="V31" i="7"/>
  <c r="V76" i="7"/>
  <c r="W13" i="2"/>
  <c r="U27" i="3"/>
  <c r="S125" i="7"/>
  <c r="T125" i="7"/>
  <c r="U125" i="7"/>
  <c r="R125" i="7"/>
  <c r="V78" i="7" l="1"/>
  <c r="V127" i="7" s="1"/>
  <c r="V20" i="6"/>
  <c r="V32" i="6" s="1"/>
  <c r="W16" i="2"/>
  <c r="U32" i="3"/>
  <c r="U33" i="3"/>
  <c r="U39" i="3"/>
  <c r="U31" i="3"/>
  <c r="W15" i="2"/>
  <c r="W17" i="2"/>
  <c r="U95" i="7"/>
  <c r="U72" i="7"/>
  <c r="U65" i="7"/>
  <c r="U50" i="7"/>
  <c r="U53" i="7" s="1"/>
  <c r="U56" i="7" s="1"/>
  <c r="U27" i="7"/>
  <c r="U31" i="7" s="1"/>
  <c r="U76" i="7" l="1"/>
  <c r="U78" i="7" s="1"/>
  <c r="U127" i="7" s="1"/>
  <c r="U29" i="7"/>
  <c r="U31" i="6"/>
  <c r="T24" i="6"/>
  <c r="T30" i="6" s="1"/>
  <c r="S24" i="6"/>
  <c r="U28" i="6"/>
  <c r="W27" i="7"/>
  <c r="W29" i="7" l="1"/>
  <c r="W31" i="7"/>
  <c r="T28" i="6"/>
  <c r="T29" i="6"/>
  <c r="U32" i="6"/>
  <c r="U13" i="2"/>
  <c r="U16" i="2" l="1"/>
  <c r="U15" i="2"/>
  <c r="U17" i="2"/>
  <c r="T18" i="3"/>
  <c r="T38" i="3"/>
  <c r="T26" i="3"/>
  <c r="T23" i="3"/>
  <c r="W95" i="7"/>
  <c r="T27" i="3" l="1"/>
  <c r="T32" i="3" l="1"/>
  <c r="T33" i="3"/>
  <c r="T31" i="3"/>
  <c r="T39" i="3"/>
  <c r="T95" i="7" l="1"/>
  <c r="T72" i="7"/>
  <c r="T65" i="7"/>
  <c r="T50" i="7"/>
  <c r="T53" i="7" s="1"/>
  <c r="T56" i="7" s="1"/>
  <c r="T35" i="7"/>
  <c r="T76" i="7" l="1"/>
  <c r="T27" i="7"/>
  <c r="P26" i="3"/>
  <c r="R18" i="3"/>
  <c r="T78" i="7" l="1"/>
  <c r="T127" i="7" s="1"/>
  <c r="T31" i="7"/>
  <c r="T29" i="7"/>
  <c r="Q29" i="6"/>
  <c r="Q30" i="6"/>
  <c r="R30" i="6"/>
  <c r="S30" i="6"/>
  <c r="R31" i="6"/>
  <c r="S31" i="6"/>
  <c r="T31" i="6"/>
  <c r="S9" i="6"/>
  <c r="R9" i="6"/>
  <c r="Q28" i="6"/>
  <c r="R28" i="6"/>
  <c r="S28" i="6"/>
  <c r="P28" i="6"/>
  <c r="Q38" i="3"/>
  <c r="R38" i="3"/>
  <c r="S38" i="3"/>
  <c r="W38" i="3"/>
  <c r="P38" i="3"/>
  <c r="Q26" i="3"/>
  <c r="R26" i="3"/>
  <c r="S26" i="3"/>
  <c r="W26" i="3"/>
  <c r="Q23" i="3"/>
  <c r="R23" i="3"/>
  <c r="S23" i="3"/>
  <c r="W23" i="3"/>
  <c r="P23" i="3"/>
  <c r="Q18" i="3"/>
  <c r="S18" i="3"/>
  <c r="W18" i="3"/>
  <c r="P18" i="3"/>
  <c r="S19" i="3"/>
  <c r="R19" i="3"/>
  <c r="M18" i="3"/>
  <c r="R29" i="6" l="1"/>
  <c r="R13" i="6"/>
  <c r="S29" i="6"/>
  <c r="S13" i="6"/>
  <c r="P27" i="3"/>
  <c r="R27" i="3"/>
  <c r="W27" i="3"/>
  <c r="S27" i="3"/>
  <c r="Q27" i="3"/>
  <c r="T32" i="6"/>
  <c r="S32" i="6"/>
  <c r="R32" i="6"/>
  <c r="T13" i="2"/>
  <c r="S13" i="2"/>
  <c r="Q13" i="2"/>
  <c r="R13" i="2"/>
  <c r="Q125" i="7"/>
  <c r="O125" i="7"/>
  <c r="N125" i="7"/>
  <c r="M125" i="7"/>
  <c r="K125" i="7"/>
  <c r="J125" i="7"/>
  <c r="I125" i="7"/>
  <c r="H125" i="7"/>
  <c r="G125" i="7"/>
  <c r="F125" i="7"/>
  <c r="E125" i="7"/>
  <c r="L108" i="7"/>
  <c r="L125" i="7" s="1"/>
  <c r="P102" i="7"/>
  <c r="P125" i="7" s="1"/>
  <c r="S95" i="7"/>
  <c r="R95" i="7"/>
  <c r="Q95" i="7"/>
  <c r="P95" i="7"/>
  <c r="O95" i="7"/>
  <c r="N95" i="7"/>
  <c r="M95" i="7"/>
  <c r="K95" i="7"/>
  <c r="J95" i="7"/>
  <c r="I95" i="7"/>
  <c r="H95" i="7"/>
  <c r="G95" i="7"/>
  <c r="F95" i="7"/>
  <c r="E95" i="7"/>
  <c r="L86" i="7"/>
  <c r="L83" i="7"/>
  <c r="W72" i="7"/>
  <c r="S72" i="7"/>
  <c r="R72" i="7"/>
  <c r="Q72" i="7"/>
  <c r="P72" i="7"/>
  <c r="O72" i="7"/>
  <c r="N72" i="7"/>
  <c r="M72" i="7"/>
  <c r="K72" i="7"/>
  <c r="J72" i="7"/>
  <c r="I72" i="7"/>
  <c r="H72" i="7"/>
  <c r="G72" i="7"/>
  <c r="F72" i="7"/>
  <c r="E72" i="7"/>
  <c r="L70" i="7"/>
  <c r="L72" i="7" s="1"/>
  <c r="W65" i="7"/>
  <c r="S65" i="7"/>
  <c r="R65" i="7"/>
  <c r="Q65" i="7"/>
  <c r="P65" i="7"/>
  <c r="O65" i="7"/>
  <c r="N65" i="7"/>
  <c r="M65" i="7"/>
  <c r="K65" i="7"/>
  <c r="J65" i="7"/>
  <c r="I65" i="7"/>
  <c r="H65" i="7"/>
  <c r="G65" i="7"/>
  <c r="F65" i="7"/>
  <c r="E65" i="7"/>
  <c r="L59" i="7"/>
  <c r="L65" i="7" s="1"/>
  <c r="L55" i="7"/>
  <c r="L54" i="7"/>
  <c r="L52" i="7"/>
  <c r="W50" i="7"/>
  <c r="W53" i="7" s="1"/>
  <c r="W56" i="7" s="1"/>
  <c r="W17" i="6" s="1"/>
  <c r="S50" i="7"/>
  <c r="S53" i="7" s="1"/>
  <c r="S56" i="7" s="1"/>
  <c r="R50" i="7"/>
  <c r="R53" i="7" s="1"/>
  <c r="R56" i="7" s="1"/>
  <c r="Q50" i="7"/>
  <c r="Q53" i="7" s="1"/>
  <c r="Q56" i="7" s="1"/>
  <c r="P50" i="7"/>
  <c r="P53" i="7" s="1"/>
  <c r="P56" i="7" s="1"/>
  <c r="O50" i="7"/>
  <c r="O53" i="7" s="1"/>
  <c r="O56" i="7" s="1"/>
  <c r="N50" i="7"/>
  <c r="N53" i="7" s="1"/>
  <c r="N56" i="7" s="1"/>
  <c r="M50" i="7"/>
  <c r="M53" i="7" s="1"/>
  <c r="M56" i="7" s="1"/>
  <c r="K50" i="7"/>
  <c r="K53" i="7" s="1"/>
  <c r="K56" i="7" s="1"/>
  <c r="J50" i="7"/>
  <c r="J53" i="7" s="1"/>
  <c r="J56" i="7" s="1"/>
  <c r="I50" i="7"/>
  <c r="I53" i="7" s="1"/>
  <c r="I56" i="7" s="1"/>
  <c r="H50" i="7"/>
  <c r="H53" i="7" s="1"/>
  <c r="H56" i="7" s="1"/>
  <c r="G50" i="7"/>
  <c r="G53" i="7" s="1"/>
  <c r="G56" i="7" s="1"/>
  <c r="F50" i="7"/>
  <c r="F53" i="7" s="1"/>
  <c r="F56" i="7" s="1"/>
  <c r="E50" i="7"/>
  <c r="E53" i="7" s="1"/>
  <c r="E56" i="7" s="1"/>
  <c r="L49" i="7"/>
  <c r="L50" i="7" s="1"/>
  <c r="L41" i="7"/>
  <c r="S35" i="7"/>
  <c r="P35" i="7"/>
  <c r="O35" i="7"/>
  <c r="N35" i="7"/>
  <c r="M35" i="7"/>
  <c r="L35" i="7"/>
  <c r="K35" i="7"/>
  <c r="J35" i="7"/>
  <c r="I35" i="7"/>
  <c r="H35" i="7"/>
  <c r="G35" i="7"/>
  <c r="F35" i="7"/>
  <c r="E35" i="7"/>
  <c r="P27" i="7"/>
  <c r="O27" i="7"/>
  <c r="N27" i="7"/>
  <c r="M27" i="7"/>
  <c r="K27" i="7"/>
  <c r="K31" i="7" s="1"/>
  <c r="J27" i="7"/>
  <c r="J31" i="7" s="1"/>
  <c r="F27" i="7"/>
  <c r="E27" i="7"/>
  <c r="E29" i="7" s="1"/>
  <c r="L24" i="7"/>
  <c r="L23" i="7"/>
  <c r="L22" i="7"/>
  <c r="R19" i="7"/>
  <c r="Q19" i="7"/>
  <c r="S18" i="7"/>
  <c r="S27" i="7" s="1"/>
  <c r="S31" i="7" s="1"/>
  <c r="R18" i="7"/>
  <c r="L18" i="7"/>
  <c r="L17" i="7"/>
  <c r="L14" i="7"/>
  <c r="L13" i="7"/>
  <c r="I13" i="7"/>
  <c r="L12" i="7"/>
  <c r="L11" i="7"/>
  <c r="I11" i="7"/>
  <c r="H11" i="7"/>
  <c r="H27" i="7" s="1"/>
  <c r="G11" i="7"/>
  <c r="G27" i="7" s="1"/>
  <c r="I10" i="7"/>
  <c r="I9" i="7"/>
  <c r="L8" i="7"/>
  <c r="Q27" i="7" l="1"/>
  <c r="Q29" i="7" s="1"/>
  <c r="S32" i="3"/>
  <c r="W32" i="3"/>
  <c r="R33" i="3"/>
  <c r="P32" i="3"/>
  <c r="Q32" i="3"/>
  <c r="R17" i="2"/>
  <c r="T16" i="2"/>
  <c r="S15" i="2"/>
  <c r="Q15" i="2"/>
  <c r="Q16" i="2"/>
  <c r="P39" i="3"/>
  <c r="P33" i="3"/>
  <c r="R31" i="3"/>
  <c r="P31" i="3"/>
  <c r="R39" i="3"/>
  <c r="R32" i="3"/>
  <c r="G76" i="7"/>
  <c r="G78" i="7" s="1"/>
  <c r="G127" i="7" s="1"/>
  <c r="P76" i="7"/>
  <c r="P78" i="7" s="1"/>
  <c r="P127" i="7" s="1"/>
  <c r="Q76" i="7"/>
  <c r="Q33" i="3"/>
  <c r="I76" i="7"/>
  <c r="R76" i="7"/>
  <c r="K76" i="7"/>
  <c r="K78" i="7" s="1"/>
  <c r="K127" i="7" s="1"/>
  <c r="W31" i="3"/>
  <c r="S33" i="3"/>
  <c r="W39" i="3"/>
  <c r="S31" i="3"/>
  <c r="L95" i="7"/>
  <c r="M76" i="7"/>
  <c r="M78" i="7" s="1"/>
  <c r="M127" i="7" s="1"/>
  <c r="E76" i="7"/>
  <c r="E78" i="7" s="1"/>
  <c r="E127" i="7" s="1"/>
  <c r="N76" i="7"/>
  <c r="N78" i="7" s="1"/>
  <c r="N127" i="7" s="1"/>
  <c r="F76" i="7"/>
  <c r="F78" i="7" s="1"/>
  <c r="F127" i="7" s="1"/>
  <c r="O76" i="7"/>
  <c r="O78" i="7" s="1"/>
  <c r="O127" i="7" s="1"/>
  <c r="H76" i="7"/>
  <c r="H78" i="7" s="1"/>
  <c r="H127" i="7" s="1"/>
  <c r="S76" i="7"/>
  <c r="S78" i="7" s="1"/>
  <c r="S127" i="7" s="1"/>
  <c r="L27" i="7"/>
  <c r="L31" i="7" s="1"/>
  <c r="Q31" i="3"/>
  <c r="S39" i="3"/>
  <c r="T17" i="2"/>
  <c r="W33" i="3"/>
  <c r="W76" i="7"/>
  <c r="I27" i="7"/>
  <c r="I31" i="7" s="1"/>
  <c r="J76" i="7"/>
  <c r="J78" i="7" s="1"/>
  <c r="J127" i="7" s="1"/>
  <c r="L53" i="7"/>
  <c r="L56" i="7" s="1"/>
  <c r="L76" i="7" s="1"/>
  <c r="S17" i="2"/>
  <c r="Q39" i="3"/>
  <c r="T15" i="2"/>
  <c r="R15" i="2"/>
  <c r="R16" i="2"/>
  <c r="Q31" i="6"/>
  <c r="Q32" i="6"/>
  <c r="S16" i="2"/>
  <c r="Q17" i="2"/>
  <c r="H29" i="7"/>
  <c r="H31" i="7"/>
  <c r="G31" i="7"/>
  <c r="G29" i="7"/>
  <c r="E31" i="7"/>
  <c r="F29" i="7"/>
  <c r="N29" i="7"/>
  <c r="F31" i="7"/>
  <c r="N31" i="7"/>
  <c r="M31" i="7"/>
  <c r="O29" i="7"/>
  <c r="O31" i="7"/>
  <c r="M29" i="7"/>
  <c r="P29" i="7"/>
  <c r="P31" i="7"/>
  <c r="R27" i="7"/>
  <c r="R29" i="7" s="1"/>
  <c r="J29" i="7"/>
  <c r="K29" i="7"/>
  <c r="S29" i="7"/>
  <c r="P30" i="6"/>
  <c r="O30" i="6"/>
  <c r="N30" i="6"/>
  <c r="M30" i="6"/>
  <c r="L30" i="6"/>
  <c r="K30" i="6"/>
  <c r="J30" i="6"/>
  <c r="I30" i="6"/>
  <c r="H30" i="6"/>
  <c r="G30" i="6"/>
  <c r="F30" i="6"/>
  <c r="P29" i="6"/>
  <c r="O29" i="6"/>
  <c r="N29" i="6"/>
  <c r="M29" i="6"/>
  <c r="K29" i="6"/>
  <c r="J29" i="6"/>
  <c r="I29" i="6"/>
  <c r="H29" i="6"/>
  <c r="G29" i="6"/>
  <c r="F29" i="6"/>
  <c r="E24" i="6"/>
  <c r="E30" i="6" s="1"/>
  <c r="L9" i="6"/>
  <c r="O28" i="6"/>
  <c r="N28" i="6"/>
  <c r="M28" i="6"/>
  <c r="K28" i="6"/>
  <c r="J28" i="6"/>
  <c r="H28" i="6"/>
  <c r="P13" i="2"/>
  <c r="O38" i="3"/>
  <c r="N38" i="3"/>
  <c r="M38" i="3"/>
  <c r="K38" i="3"/>
  <c r="J38" i="3"/>
  <c r="I38" i="3"/>
  <c r="H38" i="3"/>
  <c r="G38" i="3"/>
  <c r="F38" i="3"/>
  <c r="E38" i="3"/>
  <c r="L36" i="3"/>
  <c r="L38" i="3" s="1"/>
  <c r="O26" i="3"/>
  <c r="N26" i="3"/>
  <c r="M26" i="3"/>
  <c r="K26" i="3"/>
  <c r="J26" i="3"/>
  <c r="I26" i="3"/>
  <c r="H26" i="3"/>
  <c r="G26" i="3"/>
  <c r="F26" i="3"/>
  <c r="L24" i="3"/>
  <c r="L26" i="3" s="1"/>
  <c r="E24" i="3"/>
  <c r="E26" i="3" s="1"/>
  <c r="O23" i="3"/>
  <c r="N23" i="3"/>
  <c r="M23" i="3"/>
  <c r="K23" i="3"/>
  <c r="J23" i="3"/>
  <c r="I23" i="3"/>
  <c r="H23" i="3"/>
  <c r="G23" i="3"/>
  <c r="F23" i="3"/>
  <c r="E23" i="3"/>
  <c r="L22" i="3"/>
  <c r="L21" i="3"/>
  <c r="L19" i="3"/>
  <c r="O18" i="3"/>
  <c r="N18" i="3"/>
  <c r="K18" i="3"/>
  <c r="F18" i="3"/>
  <c r="E18" i="3"/>
  <c r="L17" i="3"/>
  <c r="L14" i="3"/>
  <c r="L13" i="3"/>
  <c r="I13" i="3"/>
  <c r="L12" i="3"/>
  <c r="L11" i="3"/>
  <c r="I11" i="3"/>
  <c r="H11" i="3"/>
  <c r="H18" i="3" s="1"/>
  <c r="G11" i="3"/>
  <c r="G18" i="3" s="1"/>
  <c r="I10" i="3"/>
  <c r="I9" i="3"/>
  <c r="L8" i="3"/>
  <c r="Q31" i="7" l="1"/>
  <c r="Q78" i="7"/>
  <c r="Q127" i="7" s="1"/>
  <c r="W78" i="7"/>
  <c r="W127" i="7" s="1"/>
  <c r="W20" i="6"/>
  <c r="L29" i="6"/>
  <c r="L13" i="6"/>
  <c r="P15" i="2"/>
  <c r="L29" i="7"/>
  <c r="L78" i="7"/>
  <c r="L127" i="7" s="1"/>
  <c r="E28" i="6"/>
  <c r="N27" i="3"/>
  <c r="I78" i="7"/>
  <c r="I127" i="7" s="1"/>
  <c r="I29" i="7"/>
  <c r="K13" i="2"/>
  <c r="E29" i="6"/>
  <c r="L23" i="3"/>
  <c r="I13" i="2"/>
  <c r="I16" i="2" s="1"/>
  <c r="F27" i="3"/>
  <c r="F33" i="3" s="1"/>
  <c r="O27" i="3"/>
  <c r="M13" i="2"/>
  <c r="P32" i="6"/>
  <c r="L32" i="6"/>
  <c r="I28" i="6"/>
  <c r="F13" i="2"/>
  <c r="F17" i="2" s="1"/>
  <c r="E13" i="2"/>
  <c r="E15" i="2" s="1"/>
  <c r="J13" i="2"/>
  <c r="H13" i="2"/>
  <c r="H15" i="2" s="1"/>
  <c r="O13" i="2"/>
  <c r="N13" i="2"/>
  <c r="I18" i="3"/>
  <c r="I27" i="3" s="1"/>
  <c r="I31" i="3" s="1"/>
  <c r="M27" i="3"/>
  <c r="L18" i="3"/>
  <c r="J27" i="3"/>
  <c r="E27" i="3"/>
  <c r="E32" i="3" s="1"/>
  <c r="K27" i="3"/>
  <c r="R31" i="7"/>
  <c r="R78" i="7"/>
  <c r="R127" i="7" s="1"/>
  <c r="E32" i="6"/>
  <c r="E31" i="6"/>
  <c r="H27" i="3"/>
  <c r="H31" i="3" s="1"/>
  <c r="F32" i="6"/>
  <c r="F31" i="6"/>
  <c r="O31" i="6"/>
  <c r="O32" i="6"/>
  <c r="N32" i="6"/>
  <c r="N31" i="6"/>
  <c r="G31" i="6"/>
  <c r="G32" i="6"/>
  <c r="P31" i="6"/>
  <c r="H31" i="6"/>
  <c r="I32" i="6"/>
  <c r="I31" i="6"/>
  <c r="G13" i="2"/>
  <c r="J31" i="6"/>
  <c r="G27" i="3"/>
  <c r="G31" i="3" s="1"/>
  <c r="K32" i="6"/>
  <c r="K31" i="6"/>
  <c r="M32" i="6"/>
  <c r="M31" i="6"/>
  <c r="F28" i="6"/>
  <c r="G28" i="6"/>
  <c r="N32" i="3" l="1"/>
  <c r="K33" i="3"/>
  <c r="M39" i="3"/>
  <c r="J32" i="3"/>
  <c r="N15" i="2"/>
  <c r="K16" i="2"/>
  <c r="J16" i="2"/>
  <c r="F31" i="3"/>
  <c r="L13" i="2"/>
  <c r="F32" i="3"/>
  <c r="F39" i="3"/>
  <c r="J31" i="3"/>
  <c r="J33" i="3"/>
  <c r="K17" i="2"/>
  <c r="K15" i="2"/>
  <c r="O39" i="3"/>
  <c r="N39" i="3"/>
  <c r="O32" i="3"/>
  <c r="N31" i="3"/>
  <c r="N33" i="3"/>
  <c r="E31" i="3"/>
  <c r="J39" i="3"/>
  <c r="L27" i="3"/>
  <c r="O16" i="2"/>
  <c r="I15" i="2"/>
  <c r="I17" i="2"/>
  <c r="E39" i="3"/>
  <c r="K39" i="3"/>
  <c r="O33" i="3"/>
  <c r="O31" i="3"/>
  <c r="M17" i="2"/>
  <c r="M16" i="2"/>
  <c r="M15" i="2"/>
  <c r="H17" i="2"/>
  <c r="F15" i="2"/>
  <c r="H16" i="2"/>
  <c r="E17" i="2"/>
  <c r="E16" i="2"/>
  <c r="L31" i="6"/>
  <c r="L28" i="6"/>
  <c r="F16" i="2"/>
  <c r="O17" i="2"/>
  <c r="J17" i="2"/>
  <c r="J15" i="2"/>
  <c r="N17" i="2"/>
  <c r="N16" i="2"/>
  <c r="O15" i="2"/>
  <c r="M33" i="3"/>
  <c r="M31" i="3"/>
  <c r="M32" i="3"/>
  <c r="K31" i="3"/>
  <c r="K32" i="3"/>
  <c r="E33" i="3"/>
  <c r="H39" i="3"/>
  <c r="H32" i="3"/>
  <c r="H33" i="3"/>
  <c r="P16" i="2"/>
  <c r="P17" i="2"/>
  <c r="I33" i="3"/>
  <c r="I32" i="3"/>
  <c r="I39" i="3"/>
  <c r="G17" i="2"/>
  <c r="G16" i="2"/>
  <c r="G32" i="3"/>
  <c r="G39" i="3"/>
  <c r="G33" i="3"/>
  <c r="G15" i="2"/>
  <c r="H32" i="6"/>
  <c r="J32" i="6"/>
  <c r="L15" i="2" l="1"/>
  <c r="L17" i="2"/>
  <c r="L16" i="2"/>
  <c r="L32" i="3"/>
  <c r="L33" i="3"/>
  <c r="L31" i="3"/>
  <c r="L39" i="3"/>
</calcChain>
</file>

<file path=xl/sharedStrings.xml><?xml version="1.0" encoding="utf-8"?>
<sst xmlns="http://schemas.openxmlformats.org/spreadsheetml/2006/main" count="351" uniqueCount="165">
  <si>
    <t>Central Connecticut State University</t>
  </si>
  <si>
    <t>Account Name</t>
  </si>
  <si>
    <t>Revenue:</t>
  </si>
  <si>
    <t>Tuition  (Gross)</t>
  </si>
  <si>
    <t>Part Time Tuition (Gross)</t>
  </si>
  <si>
    <t>General University Fee</t>
  </si>
  <si>
    <t>University Fee</t>
  </si>
  <si>
    <t>All Other Student Fees</t>
  </si>
  <si>
    <t>Accident Insurance</t>
  </si>
  <si>
    <t>Telecom Revenue</t>
  </si>
  <si>
    <t>State Appropriations</t>
  </si>
  <si>
    <t>Fringe Benefits Paid By State</t>
  </si>
  <si>
    <t>Housing</t>
  </si>
  <si>
    <t>Food Service</t>
  </si>
  <si>
    <t>All Other Revenue</t>
  </si>
  <si>
    <t xml:space="preserve">    Less:  ContraRevenue</t>
  </si>
  <si>
    <t>Total Revenue</t>
  </si>
  <si>
    <t>Expenditures:</t>
  </si>
  <si>
    <t>Total Full Time</t>
  </si>
  <si>
    <t xml:space="preserve">      Lecturers</t>
  </si>
  <si>
    <t xml:space="preserve">      Perm/Intermit PT</t>
  </si>
  <si>
    <t xml:space="preserve">      University Assistants</t>
  </si>
  <si>
    <t xml:space="preserve">      Graduate Assistants</t>
  </si>
  <si>
    <t xml:space="preserve">      Other Part Time</t>
  </si>
  <si>
    <t>Total Part Time</t>
  </si>
  <si>
    <t>Overtime</t>
  </si>
  <si>
    <t xml:space="preserve">   Subtotal Personal Services </t>
  </si>
  <si>
    <t>Fringe Benefits</t>
  </si>
  <si>
    <t>Worker's Comp. Recovery</t>
  </si>
  <si>
    <t xml:space="preserve">   Total P.S. &amp; Fringe Benefits</t>
  </si>
  <si>
    <t>Inst. Financial Aid/Match</t>
  </si>
  <si>
    <t>Waivers</t>
  </si>
  <si>
    <t>All Other Expenses</t>
  </si>
  <si>
    <t>Telecom Expense</t>
  </si>
  <si>
    <t xml:space="preserve">   Total Other Expenses</t>
  </si>
  <si>
    <t>Books</t>
  </si>
  <si>
    <t>Periodicals</t>
  </si>
  <si>
    <t>Electronic Periodicals</t>
  </si>
  <si>
    <t>All Other Library Equipment</t>
  </si>
  <si>
    <t xml:space="preserve">   Total Non-P.S. Library Expense</t>
  </si>
  <si>
    <t xml:space="preserve">   Total Equipment (excludes Library)</t>
  </si>
  <si>
    <t xml:space="preserve">Total Expenditures </t>
  </si>
  <si>
    <t>Addition to (Use of) Funds Before Designated Items</t>
  </si>
  <si>
    <t>Designated Transfers Per BOT Policies</t>
  </si>
  <si>
    <t>Debt Service (University Fee)</t>
  </si>
  <si>
    <t xml:space="preserve">   Total Designated Transfers</t>
  </si>
  <si>
    <t>Other Designated Fund Requests</t>
  </si>
  <si>
    <t>Debt Service Prefunding</t>
  </si>
  <si>
    <t>27th Payroll</t>
  </si>
  <si>
    <t>Unfunded Contract Mandates</t>
  </si>
  <si>
    <t xml:space="preserve">   Total Other Designated Fund Requests</t>
  </si>
  <si>
    <t>Addition to (Use of) Funds</t>
  </si>
  <si>
    <t>Extension Fee (Gross)</t>
  </si>
  <si>
    <t xml:space="preserve">All Other Personal Services </t>
  </si>
  <si>
    <t>FY10</t>
  </si>
  <si>
    <t>FY11</t>
  </si>
  <si>
    <t xml:space="preserve">FY10 Fund Balance Reduction by State </t>
  </si>
  <si>
    <t>Auxiliary Renewal and Replacement</t>
  </si>
  <si>
    <t>FY09</t>
  </si>
  <si>
    <t>Actual</t>
  </si>
  <si>
    <t xml:space="preserve">FY11 Fund Balance Reduction by State </t>
  </si>
  <si>
    <t>Budget</t>
  </si>
  <si>
    <t>Prefunded Debt Service - New Residence Hall</t>
  </si>
  <si>
    <t>FY07</t>
  </si>
  <si>
    <t>FY08</t>
  </si>
  <si>
    <t>eLearning</t>
  </si>
  <si>
    <t>Banner - Receipt (Payment)</t>
  </si>
  <si>
    <t>Transfer Match for ITBD Grant</t>
  </si>
  <si>
    <t>Collective Bargaining Special Funds</t>
  </si>
  <si>
    <t>Davidson Hall Emergency Project</t>
  </si>
  <si>
    <t>FY06 Academic Enhancement</t>
  </si>
  <si>
    <t>FY07 Academic Enhancement</t>
  </si>
  <si>
    <t>Other Transfer - Athletic/Recreation Field (BR#07-40)</t>
  </si>
  <si>
    <t>Other Transfer - East Campus Reserve (RSRV20)</t>
  </si>
  <si>
    <t>FY08 Academic Enhancement</t>
  </si>
  <si>
    <t>Other Transfer - BR#08-65 Public Safety Facility</t>
  </si>
  <si>
    <t>FY12</t>
  </si>
  <si>
    <t>FY 13</t>
  </si>
  <si>
    <t>% of State Appropriation to Total Revenue</t>
  </si>
  <si>
    <t>Total</t>
  </si>
  <si>
    <t>FTE Full-time</t>
  </si>
  <si>
    <t>FTE Part-time</t>
  </si>
  <si>
    <t>% of Tuition &amp; Fees to Total Revenue</t>
  </si>
  <si>
    <t>FY 14</t>
  </si>
  <si>
    <t>FY 15</t>
  </si>
  <si>
    <t>FY 16</t>
  </si>
  <si>
    <t>Other Transfer- 3% Tuition</t>
  </si>
  <si>
    <t>Other Transfer- Distribution Model Change</t>
  </si>
  <si>
    <t>Other Transfer- Add'l Operations Support (to offset recission)</t>
  </si>
  <si>
    <t>FY06</t>
  </si>
  <si>
    <t>Plant Transfers</t>
  </si>
  <si>
    <t>FY05</t>
  </si>
  <si>
    <t>Add'l Athletic funding from their Fund Balance</t>
  </si>
  <si>
    <t>FY 17</t>
  </si>
  <si>
    <t>University General Fee (excluding Accident Ins.)</t>
  </si>
  <si>
    <t xml:space="preserve">Tuition and Fees </t>
  </si>
  <si>
    <t>State Appropriations (1)</t>
  </si>
  <si>
    <t>Housing/Food Services</t>
  </si>
  <si>
    <t xml:space="preserve">    Less:  Contra Revenue</t>
  </si>
  <si>
    <t>Total Revenue (excluding fringe recovery from state)</t>
  </si>
  <si>
    <t>% of Housing/Food to Total Revenue</t>
  </si>
  <si>
    <t>Fringe Benefits Expense</t>
  </si>
  <si>
    <r>
      <t xml:space="preserve">  </t>
    </r>
    <r>
      <rPr>
        <b/>
        <u/>
        <sz val="12"/>
        <rFont val="Times New Roman"/>
        <family val="1"/>
      </rPr>
      <t xml:space="preserve"> Other Expenses</t>
    </r>
    <r>
      <rPr>
        <b/>
        <sz val="12"/>
        <rFont val="Times New Roman"/>
        <family val="1"/>
      </rPr>
      <t>:</t>
    </r>
  </si>
  <si>
    <t>Bad Debt Expense (current year)</t>
  </si>
  <si>
    <t>Fringe Benefits recovery from State</t>
  </si>
  <si>
    <t>Net Fringe Expense to CCSU</t>
  </si>
  <si>
    <t>% of Net Fringe Expense to Total Revenue</t>
  </si>
  <si>
    <t>(1) Excluded from the FY 2015 state appropriation is one time funding received for tuition fee hold down of $3,101,171 and $750,757 in funds to offset the impact of a system office model change.</t>
  </si>
  <si>
    <t>(2) FY17 General Fund / Fringe Appropriation updated to reflect the 6/9/16 Holdback</t>
  </si>
  <si>
    <t xml:space="preserve">Tutition and Fees </t>
  </si>
  <si>
    <r>
      <t xml:space="preserve">   </t>
    </r>
    <r>
      <rPr>
        <b/>
        <u/>
        <sz val="11"/>
        <rFont val="Times New Roman"/>
        <family val="1"/>
      </rPr>
      <t>Personal Services</t>
    </r>
    <r>
      <rPr>
        <b/>
        <sz val="11"/>
        <rFont val="Times New Roman"/>
        <family val="1"/>
      </rPr>
      <t>:</t>
    </r>
  </si>
  <si>
    <r>
      <t>Part Time</t>
    </r>
    <r>
      <rPr>
        <sz val="11"/>
        <rFont val="Times New Roman"/>
        <family val="1"/>
      </rPr>
      <t>:</t>
    </r>
  </si>
  <si>
    <r>
      <t xml:space="preserve">  </t>
    </r>
    <r>
      <rPr>
        <b/>
        <u/>
        <sz val="11"/>
        <rFont val="Times New Roman"/>
        <family val="1"/>
      </rPr>
      <t xml:space="preserve"> Other Expenses</t>
    </r>
    <r>
      <rPr>
        <b/>
        <sz val="11"/>
        <rFont val="Times New Roman"/>
        <family val="1"/>
      </rPr>
      <t>:</t>
    </r>
  </si>
  <si>
    <r>
      <t xml:space="preserve">   </t>
    </r>
    <r>
      <rPr>
        <b/>
        <u/>
        <sz val="11"/>
        <rFont val="Times New Roman"/>
        <family val="1"/>
      </rPr>
      <t>Library Expenses</t>
    </r>
    <r>
      <rPr>
        <b/>
        <sz val="11"/>
        <rFont val="Times New Roman"/>
        <family val="1"/>
      </rPr>
      <t>:</t>
    </r>
  </si>
  <si>
    <t>`</t>
  </si>
  <si>
    <t>Per FTE</t>
  </si>
  <si>
    <t>Total P.S. &amp; Fringe Benefits</t>
  </si>
  <si>
    <t>Total FTE</t>
  </si>
  <si>
    <r>
      <t xml:space="preserve">Total Expenditures </t>
    </r>
    <r>
      <rPr>
        <sz val="9"/>
        <rFont val="Times New Roman"/>
        <family val="1"/>
      </rPr>
      <t xml:space="preserve"> (excludes Transfers)</t>
    </r>
  </si>
  <si>
    <t>University Fee (CHEFA)</t>
  </si>
  <si>
    <t>Expenditure Plan (Operating E&amp;G, Auxiliary Services, Self-Supporting) *</t>
  </si>
  <si>
    <t xml:space="preserve"> * Will not tie to audited financial statements due to other types of adjustments</t>
  </si>
  <si>
    <t>Expenditure Plan (Operating E&amp;G, Auxiliary Services, Self-Supporting)*</t>
  </si>
  <si>
    <t>FY 18</t>
  </si>
  <si>
    <t>IMRP Projects-FY17 Additional Approp</t>
  </si>
  <si>
    <t>Other Transfers - Capital Equipment</t>
  </si>
  <si>
    <t>FY 19</t>
  </si>
  <si>
    <t>FY 20</t>
  </si>
  <si>
    <t>Add'l State Appropriation (Dev Edu, Outcomes Based, IMRP)</t>
  </si>
  <si>
    <t xml:space="preserve">      Lectures (NTL)</t>
  </si>
  <si>
    <t xml:space="preserve">      Student Workers </t>
  </si>
  <si>
    <t>Utilities</t>
  </si>
  <si>
    <t>Transfer to Housing Reserve</t>
  </si>
  <si>
    <t>Transfer to SO - GF OF Swap</t>
  </si>
  <si>
    <t>Other Transfers- Various (Includes Transfer to SO GF/OF)</t>
  </si>
  <si>
    <t>Other Transfers- Includes Transfer to SO GF/OF</t>
  </si>
  <si>
    <t>Telecom Reserves</t>
  </si>
  <si>
    <t>FY 21</t>
  </si>
  <si>
    <t>Debt Service Parking Garage (Welte &amp; W/D Design)</t>
  </si>
  <si>
    <t>Debt Servive Parking Garage ( W/D Construction)</t>
  </si>
  <si>
    <t xml:space="preserve">HEERF CARES Funding </t>
  </si>
  <si>
    <t>HEERF Funding from FY21</t>
  </si>
  <si>
    <t>FY 22</t>
  </si>
  <si>
    <t>CARES HEERF III (Inst Remaining &amp; Supplemental)</t>
  </si>
  <si>
    <t>HEERF Funding used in FY22 from FY21 Loss Revenue</t>
  </si>
  <si>
    <r>
      <t xml:space="preserve">Debt Service Residence Hall </t>
    </r>
    <r>
      <rPr>
        <b/>
        <sz val="11"/>
        <rFont val="Times New Roman"/>
        <family val="1"/>
      </rPr>
      <t>(1)</t>
    </r>
  </si>
  <si>
    <t>(1) In FY21, the Residence Hall Cheafa payment was reduced by refunding and applying the principal credit.</t>
  </si>
  <si>
    <t>(FY05 - FY09) Hidden to save room</t>
  </si>
  <si>
    <t>Add'l State Appropriation (Salary Costs &amp; Oper Supp)</t>
  </si>
  <si>
    <t>CRF Funds Approved/ARPA Funding</t>
  </si>
  <si>
    <t>Campus Projects/Upgrades Expansions for Academic Programs</t>
  </si>
  <si>
    <t>FY 23</t>
  </si>
  <si>
    <t>Contingency for potential Enrollment Decline</t>
  </si>
  <si>
    <t>NOTES:</t>
  </si>
  <si>
    <t>FY18 - Presentation changes made to the Spending Plan Format as follows: Telecom Rev is in All Other Rev; Other PT broken out into Lect (NTL), Student Workers; Other expenses includes Bad Debt exp, Equipment and Library Expenses with Utilities broken out.</t>
  </si>
  <si>
    <t>FY24 Spending Plan           (as of 5/19/23)</t>
  </si>
  <si>
    <t>FY 24</t>
  </si>
  <si>
    <t>Estimated to EOY</t>
  </si>
  <si>
    <t>Board Approved 6/28/2023</t>
  </si>
  <si>
    <t>Other Transfers (Critical Energy Center Maint and Expansion of space for Academic Programs)</t>
  </si>
  <si>
    <t>Other Transfers (Set aside Funds for CISCO Financing)</t>
  </si>
  <si>
    <t>FY22 - Add'l One-time State Funding, Bad Debt moved to Contra Revenue</t>
  </si>
  <si>
    <t>FY23 - Add'l One-time State Funding, 27th Payroll</t>
  </si>
  <si>
    <t>FY24 - Add'l One-time State Funding; Retirement Benefits paid by OSC</t>
  </si>
  <si>
    <t>(FY05 - FY14) Hidden to save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</si>
</sst>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;@"/>
    <numFmt numFmtId="166" formatCode="_([$€-2]* #,##0.00_);_([$€-2]* \(#,##0.00\);_([$€-2]* &quot;-&quot;??_)"/>
    <numFmt numFmtId="167" formatCode="_(\$* #,##0.00_);_(\$* \(#,##0.00\);_(\$* \-??_);_(@_)"/>
    <numFmt numFmtId="168" formatCode="#,##0.0"/>
    <numFmt numFmtId="169" formatCode="_(&quot;$&quot;* #,##0_);_(&quot;$&quot;* \(#,##0\);_(&quot;$&quot;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0"/>
      <name val="Arial Unicode MS"/>
      <family val="2"/>
    </font>
    <font>
      <sz val="8"/>
      <name val="MS Sans Serif"/>
      <family val="2"/>
    </font>
    <font>
      <sz val="10"/>
      <name val="Arial Unicode MS"/>
      <family val="2"/>
    </font>
    <font>
      <sz val="10"/>
      <name val="Times New Roman"/>
      <family val="1"/>
    </font>
    <font>
      <sz val="8"/>
      <name val="Microsoft Sans Serif"/>
      <family val="2"/>
      <charset val="204"/>
    </font>
    <font>
      <sz val="9"/>
      <name val="Microsoft Sans Serif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2"/>
      <color indexed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u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b/>
      <sz val="9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1">
    <xf numFmtId="0" fontId="0" fillId="0" borderId="0"/>
    <xf numFmtId="164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43" fontId="3" fillId="0" borderId="0" applyFont="0" applyFill="0" applyBorder="0" applyAlignment="0" applyProtection="0"/>
    <xf numFmtId="167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44" fontId="3" fillId="0" borderId="0" applyFont="0" applyFill="0" applyBorder="0" applyAlignment="0" applyProtection="0"/>
    <xf numFmtId="0" fontId="14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8" applyNumberFormat="0" applyAlignment="0" applyProtection="0"/>
    <xf numFmtId="0" fontId="19" fillId="21" borderId="9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8" applyNumberFormat="0" applyAlignment="0" applyProtection="0"/>
    <xf numFmtId="0" fontId="26" fillId="0" borderId="13" applyNumberFormat="0" applyFill="0" applyAlignment="0" applyProtection="0"/>
    <xf numFmtId="0" fontId="27" fillId="22" borderId="0" applyNumberFormat="0" applyBorder="0" applyAlignment="0" applyProtection="0"/>
    <xf numFmtId="0" fontId="3" fillId="23" borderId="14" applyNumberFormat="0" applyFont="0" applyAlignment="0" applyProtection="0"/>
    <xf numFmtId="0" fontId="28" fillId="20" borderId="15" applyNumberFormat="0" applyAlignment="0" applyProtection="0"/>
    <xf numFmtId="41" fontId="9" fillId="0" borderId="1" applyBorder="0">
      <alignment horizontal="center"/>
      <protection locked="0"/>
    </xf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3" borderId="14" applyNumberFormat="0" applyFont="0" applyAlignment="0" applyProtection="0"/>
    <xf numFmtId="0" fontId="3" fillId="23" borderId="14" applyNumberFormat="0" applyFont="0" applyAlignment="0" applyProtection="0"/>
    <xf numFmtId="0" fontId="3" fillId="0" borderId="0"/>
    <xf numFmtId="168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4" fontId="2" fillId="0" borderId="0"/>
    <xf numFmtId="44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2" fillId="0" borderId="0"/>
    <xf numFmtId="0" fontId="3" fillId="0" borderId="0"/>
    <xf numFmtId="0" fontId="10" fillId="0" borderId="0"/>
    <xf numFmtId="0" fontId="1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164" fontId="2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37" fontId="34" fillId="0" borderId="0" xfId="155" applyNumberFormat="1" applyFont="1" applyFill="1" applyBorder="1" applyProtection="1"/>
    <xf numFmtId="37" fontId="34" fillId="0" borderId="0" xfId="5" applyNumberFormat="1" applyFont="1" applyFill="1" applyBorder="1" applyProtection="1"/>
    <xf numFmtId="37" fontId="34" fillId="0" borderId="1" xfId="5" applyNumberFormat="1" applyFont="1" applyFill="1" applyBorder="1" applyProtection="1"/>
    <xf numFmtId="41" fontId="34" fillId="0" borderId="0" xfId="5" applyNumberFormat="1" applyFont="1" applyFill="1" applyBorder="1" applyProtection="1"/>
    <xf numFmtId="37" fontId="34" fillId="0" borderId="17" xfId="155" applyNumberFormat="1" applyFont="1" applyFill="1" applyBorder="1" applyProtection="1"/>
    <xf numFmtId="37" fontId="34" fillId="0" borderId="1" xfId="155" applyNumberFormat="1" applyFont="1" applyFill="1" applyBorder="1" applyProtection="1"/>
    <xf numFmtId="37" fontId="34" fillId="0" borderId="3" xfId="5" applyNumberFormat="1" applyFont="1" applyFill="1" applyBorder="1" applyProtection="1"/>
    <xf numFmtId="41" fontId="34" fillId="0" borderId="1" xfId="5" applyNumberFormat="1" applyFont="1" applyFill="1" applyBorder="1" applyProtection="1"/>
    <xf numFmtId="164" fontId="5" fillId="0" borderId="0" xfId="5" applyFont="1" applyFill="1" applyProtection="1"/>
    <xf numFmtId="164" fontId="34" fillId="24" borderId="0" xfId="1" applyFont="1" applyFill="1" applyBorder="1"/>
    <xf numFmtId="164" fontId="34" fillId="25" borderId="0" xfId="5" applyFont="1" applyFill="1" applyBorder="1" applyAlignment="1" applyProtection="1">
      <alignment horizontal="left"/>
    </xf>
    <xf numFmtId="164" fontId="5" fillId="24" borderId="0" xfId="168" applyFont="1" applyFill="1" applyAlignment="1">
      <alignment horizontal="left"/>
    </xf>
    <xf numFmtId="37" fontId="5" fillId="24" borderId="1" xfId="168" applyNumberFormat="1" applyFont="1" applyFill="1" applyBorder="1"/>
    <xf numFmtId="41" fontId="5" fillId="24" borderId="1" xfId="168" applyNumberFormat="1" applyFont="1" applyFill="1" applyBorder="1"/>
    <xf numFmtId="37" fontId="5" fillId="24" borderId="6" xfId="0" applyNumberFormat="1" applyFont="1" applyFill="1" applyBorder="1"/>
    <xf numFmtId="37" fontId="5" fillId="24" borderId="17" xfId="155" applyNumberFormat="1" applyFont="1" applyFill="1" applyBorder="1"/>
    <xf numFmtId="41" fontId="5" fillId="24" borderId="17" xfId="155" applyNumberFormat="1" applyFont="1" applyFill="1" applyBorder="1"/>
    <xf numFmtId="164" fontId="33" fillId="0" borderId="0" xfId="1" applyFont="1" applyFill="1" applyBorder="1" applyAlignment="1" applyProtection="1">
      <alignment horizontal="left"/>
    </xf>
    <xf numFmtId="164" fontId="33" fillId="0" borderId="0" xfId="1" applyFont="1" applyFill="1" applyBorder="1" applyProtection="1"/>
    <xf numFmtId="0" fontId="34" fillId="0" borderId="0" xfId="0" applyFont="1" applyFill="1" applyBorder="1"/>
    <xf numFmtId="0" fontId="35" fillId="0" borderId="0" xfId="0" applyFont="1" applyFill="1" applyBorder="1"/>
    <xf numFmtId="164" fontId="37" fillId="0" borderId="0" xfId="1" applyFont="1" applyFill="1" applyBorder="1" applyAlignment="1" applyProtection="1">
      <alignment horizontal="left"/>
    </xf>
    <xf numFmtId="0" fontId="35" fillId="0" borderId="0" xfId="0" applyFont="1" applyFill="1" applyBorder="1" applyAlignment="1">
      <alignment horizontal="center"/>
    </xf>
    <xf numFmtId="1" fontId="37" fillId="0" borderId="0" xfId="1" applyNumberFormat="1" applyFont="1" applyFill="1" applyBorder="1" applyAlignment="1">
      <alignment horizontal="center"/>
    </xf>
    <xf numFmtId="1" fontId="51" fillId="0" borderId="0" xfId="1" applyNumberFormat="1" applyFont="1" applyFill="1" applyBorder="1" applyAlignment="1">
      <alignment horizontal="left"/>
    </xf>
    <xf numFmtId="164" fontId="37" fillId="0" borderId="0" xfId="1" applyFont="1" applyFill="1" applyBorder="1" applyAlignment="1" applyProtection="1">
      <alignment horizontal="center"/>
    </xf>
    <xf numFmtId="37" fontId="37" fillId="0" borderId="0" xfId="5" applyNumberFormat="1" applyFont="1" applyFill="1" applyBorder="1" applyAlignment="1" applyProtection="1"/>
    <xf numFmtId="0" fontId="35" fillId="0" borderId="0" xfId="0" applyFont="1" applyFill="1" applyBorder="1" applyAlignment="1">
      <alignment horizontal="center" wrapText="1"/>
    </xf>
    <xf numFmtId="1" fontId="37" fillId="0" borderId="0" xfId="1" applyNumberFormat="1" applyFont="1" applyFill="1" applyBorder="1"/>
    <xf numFmtId="37" fontId="37" fillId="0" borderId="0" xfId="5" applyNumberFormat="1" applyFont="1" applyFill="1" applyBorder="1" applyAlignment="1" applyProtection="1">
      <alignment horizontal="centerContinuous"/>
    </xf>
    <xf numFmtId="0" fontId="39" fillId="0" borderId="0" xfId="0" applyFont="1" applyFill="1" applyBorder="1" applyAlignment="1">
      <alignment horizontal="center"/>
    </xf>
    <xf numFmtId="164" fontId="37" fillId="0" borderId="0" xfId="1" applyNumberFormat="1" applyFont="1" applyFill="1" applyBorder="1" applyAlignment="1" applyProtection="1">
      <alignment horizontal="center"/>
    </xf>
    <xf numFmtId="37" fontId="37" fillId="0" borderId="0" xfId="5" applyNumberFormat="1" applyFont="1" applyFill="1" applyBorder="1" applyAlignment="1" applyProtection="1">
      <alignment horizontal="center"/>
    </xf>
    <xf numFmtId="164" fontId="34" fillId="0" borderId="0" xfId="1" applyFont="1" applyFill="1" applyBorder="1"/>
    <xf numFmtId="37" fontId="34" fillId="0" borderId="0" xfId="5" quotePrefix="1" applyNumberFormat="1" applyFont="1" applyFill="1" applyBorder="1" applyAlignment="1" applyProtection="1">
      <alignment horizontal="center"/>
    </xf>
    <xf numFmtId="164" fontId="34" fillId="0" borderId="0" xfId="5" applyFont="1" applyFill="1" applyBorder="1" applyAlignment="1" applyProtection="1">
      <alignment horizontal="left"/>
    </xf>
    <xf numFmtId="37" fontId="34" fillId="0" borderId="0" xfId="0" applyNumberFormat="1" applyFont="1" applyFill="1" applyBorder="1" applyProtection="1"/>
    <xf numFmtId="164" fontId="37" fillId="0" borderId="0" xfId="5" applyFont="1" applyFill="1" applyBorder="1" applyAlignment="1" applyProtection="1">
      <alignment horizontal="left"/>
    </xf>
    <xf numFmtId="164" fontId="34" fillId="0" borderId="0" xfId="5" applyFont="1" applyFill="1" applyBorder="1" applyProtection="1"/>
    <xf numFmtId="164" fontId="34" fillId="0" borderId="0" xfId="5" applyFont="1" applyFill="1" applyBorder="1"/>
    <xf numFmtId="169" fontId="34" fillId="0" borderId="0" xfId="166" applyNumberFormat="1" applyFont="1" applyFill="1" applyBorder="1" applyProtection="1"/>
    <xf numFmtId="0" fontId="34" fillId="0" borderId="0" xfId="14" applyFont="1" applyFill="1" applyBorder="1"/>
    <xf numFmtId="165" fontId="34" fillId="0" borderId="0" xfId="14" applyNumberFormat="1" applyFont="1" applyFill="1" applyBorder="1" applyAlignment="1">
      <alignment horizontal="left"/>
    </xf>
    <xf numFmtId="37" fontId="34" fillId="0" borderId="1" xfId="0" applyNumberFormat="1" applyFont="1" applyFill="1" applyBorder="1" applyProtection="1"/>
    <xf numFmtId="37" fontId="34" fillId="0" borderId="1" xfId="155" applyNumberFormat="1" applyFont="1" applyFill="1" applyBorder="1"/>
    <xf numFmtId="41" fontId="34" fillId="0" borderId="4" xfId="5" applyNumberFormat="1" applyFont="1" applyFill="1" applyBorder="1" applyProtection="1"/>
    <xf numFmtId="37" fontId="34" fillId="0" borderId="4" xfId="5" applyNumberFormat="1" applyFont="1" applyFill="1" applyBorder="1" applyProtection="1"/>
    <xf numFmtId="37" fontId="34" fillId="0" borderId="4" xfId="0" applyNumberFormat="1" applyFont="1" applyFill="1" applyBorder="1" applyProtection="1"/>
    <xf numFmtId="37" fontId="34" fillId="0" borderId="4" xfId="155" applyNumberFormat="1" applyFont="1" applyFill="1" applyBorder="1" applyProtection="1"/>
    <xf numFmtId="37" fontId="34" fillId="0" borderId="4" xfId="155" applyNumberFormat="1" applyFont="1" applyFill="1" applyBorder="1"/>
    <xf numFmtId="0" fontId="35" fillId="0" borderId="4" xfId="0" applyFont="1" applyFill="1" applyBorder="1"/>
    <xf numFmtId="10" fontId="34" fillId="0" borderId="1" xfId="5" applyNumberFormat="1" applyFont="1" applyFill="1" applyBorder="1" applyProtection="1"/>
    <xf numFmtId="10" fontId="34" fillId="0" borderId="4" xfId="5" applyNumberFormat="1" applyFont="1" applyFill="1" applyBorder="1" applyProtection="1"/>
    <xf numFmtId="37" fontId="34" fillId="0" borderId="1" xfId="168" applyNumberFormat="1" applyFont="1" applyFill="1" applyBorder="1"/>
    <xf numFmtId="10" fontId="34" fillId="0" borderId="19" xfId="167" applyNumberFormat="1" applyFont="1" applyFill="1" applyBorder="1" applyProtection="1"/>
    <xf numFmtId="164" fontId="33" fillId="0" borderId="0" xfId="1" applyFont="1" applyFill="1" applyAlignment="1" applyProtection="1">
      <alignment horizontal="left"/>
    </xf>
    <xf numFmtId="164" fontId="33" fillId="0" borderId="0" xfId="1" applyFont="1" applyFill="1" applyProtection="1"/>
    <xf numFmtId="37" fontId="34" fillId="0" borderId="0" xfId="5" applyNumberFormat="1" applyFont="1" applyFill="1" applyProtection="1"/>
    <xf numFmtId="0" fontId="34" fillId="0" borderId="0" xfId="0" applyFont="1" applyFill="1"/>
    <xf numFmtId="0" fontId="35" fillId="0" borderId="0" xfId="0" applyFont="1" applyFill="1"/>
    <xf numFmtId="164" fontId="37" fillId="0" borderId="0" xfId="1" applyFont="1" applyFill="1" applyAlignment="1" applyProtection="1">
      <alignment horizontal="left"/>
    </xf>
    <xf numFmtId="164" fontId="37" fillId="0" borderId="0" xfId="1" applyFont="1" applyFill="1" applyProtection="1"/>
    <xf numFmtId="1" fontId="37" fillId="0" borderId="0" xfId="1" applyNumberFormat="1" applyFont="1" applyFill="1" applyAlignment="1">
      <alignment horizontal="center"/>
    </xf>
    <xf numFmtId="1" fontId="51" fillId="0" borderId="0" xfId="1" applyNumberFormat="1" applyFont="1" applyFill="1" applyAlignment="1">
      <alignment horizontal="left"/>
    </xf>
    <xf numFmtId="164" fontId="37" fillId="0" borderId="0" xfId="1" applyFont="1" applyFill="1" applyAlignment="1" applyProtection="1">
      <alignment horizontal="center"/>
    </xf>
    <xf numFmtId="0" fontId="35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wrapText="1"/>
    </xf>
    <xf numFmtId="1" fontId="37" fillId="0" borderId="0" xfId="1" applyNumberFormat="1" applyFont="1" applyFill="1"/>
    <xf numFmtId="164" fontId="37" fillId="0" borderId="1" xfId="1" applyNumberFormat="1" applyFont="1" applyFill="1" applyBorder="1" applyAlignment="1" applyProtection="1">
      <alignment horizontal="center"/>
    </xf>
    <xf numFmtId="37" fontId="37" fillId="0" borderId="1" xfId="5" applyNumberFormat="1" applyFont="1" applyFill="1" applyBorder="1" applyAlignment="1" applyProtection="1">
      <alignment horizontal="center"/>
    </xf>
    <xf numFmtId="0" fontId="39" fillId="0" borderId="1" xfId="0" applyFont="1" applyFill="1" applyBorder="1" applyAlignment="1">
      <alignment horizontal="center"/>
    </xf>
    <xf numFmtId="164" fontId="34" fillId="0" borderId="0" xfId="1" applyFont="1" applyFill="1"/>
    <xf numFmtId="164" fontId="42" fillId="0" borderId="0" xfId="1" applyFont="1" applyFill="1" applyAlignment="1" applyProtection="1">
      <alignment horizontal="left"/>
    </xf>
    <xf numFmtId="164" fontId="34" fillId="0" borderId="0" xfId="5" applyFont="1" applyFill="1" applyAlignment="1" applyProtection="1">
      <alignment horizontal="left"/>
    </xf>
    <xf numFmtId="37" fontId="34" fillId="0" borderId="6" xfId="0" applyNumberFormat="1" applyFont="1" applyFill="1" applyBorder="1" applyProtection="1"/>
    <xf numFmtId="37" fontId="5" fillId="0" borderId="1" xfId="155" applyNumberFormat="1" applyFont="1" applyFill="1" applyBorder="1"/>
    <xf numFmtId="164" fontId="37" fillId="0" borderId="0" xfId="5" applyFont="1" applyFill="1" applyAlignment="1" applyProtection="1">
      <alignment horizontal="left"/>
    </xf>
    <xf numFmtId="164" fontId="34" fillId="0" borderId="0" xfId="5" applyFont="1" applyFill="1" applyProtection="1"/>
    <xf numFmtId="164" fontId="34" fillId="0" borderId="0" xfId="5" applyFont="1" applyFill="1"/>
    <xf numFmtId="164" fontId="41" fillId="0" borderId="0" xfId="5" applyFont="1" applyFill="1"/>
    <xf numFmtId="164" fontId="34" fillId="0" borderId="0" xfId="1" applyFont="1" applyFill="1" applyAlignment="1" applyProtection="1">
      <alignment horizontal="left"/>
    </xf>
    <xf numFmtId="37" fontId="5" fillId="0" borderId="0" xfId="168" applyNumberFormat="1" applyFont="1" applyFill="1"/>
    <xf numFmtId="164" fontId="42" fillId="0" borderId="0" xfId="1" applyFont="1" applyFill="1"/>
    <xf numFmtId="164" fontId="34" fillId="0" borderId="0" xfId="1" applyFont="1" applyFill="1" applyAlignment="1" applyProtection="1"/>
    <xf numFmtId="164" fontId="5" fillId="0" borderId="0" xfId="5" applyFont="1" applyFill="1"/>
    <xf numFmtId="0" fontId="41" fillId="0" borderId="0" xfId="14" applyFont="1" applyFill="1" applyBorder="1"/>
    <xf numFmtId="0" fontId="5" fillId="0" borderId="0" xfId="14" applyFont="1" applyFill="1" applyBorder="1"/>
    <xf numFmtId="164" fontId="46" fillId="0" borderId="0" xfId="1" applyFont="1" applyFill="1"/>
    <xf numFmtId="164" fontId="45" fillId="0" borderId="0" xfId="1" applyFont="1" applyFill="1"/>
    <xf numFmtId="0" fontId="5" fillId="0" borderId="0" xfId="0" applyFont="1" applyFill="1"/>
    <xf numFmtId="0" fontId="43" fillId="0" borderId="0" xfId="0" applyFont="1" applyFill="1"/>
    <xf numFmtId="37" fontId="43" fillId="0" borderId="0" xfId="0" applyNumberFormat="1" applyFont="1" applyFill="1"/>
    <xf numFmtId="164" fontId="45" fillId="0" borderId="0" xfId="1" applyFont="1" applyFill="1" applyAlignment="1">
      <alignment horizontal="left"/>
    </xf>
    <xf numFmtId="0" fontId="43" fillId="0" borderId="0" xfId="0" applyFont="1" applyFill="1" applyAlignment="1">
      <alignment horizontal="center"/>
    </xf>
    <xf numFmtId="1" fontId="36" fillId="0" borderId="0" xfId="1" applyNumberFormat="1" applyFont="1" applyFill="1" applyAlignment="1">
      <alignment horizontal="center" wrapText="1"/>
    </xf>
    <xf numFmtId="164" fontId="36" fillId="0" borderId="0" xfId="1" applyFont="1" applyFill="1" applyAlignment="1">
      <alignment horizontal="center" wrapText="1"/>
    </xf>
    <xf numFmtId="37" fontId="36" fillId="0" borderId="0" xfId="168" applyNumberFormat="1" applyFont="1" applyFill="1" applyAlignment="1">
      <alignment wrapText="1"/>
    </xf>
    <xf numFmtId="0" fontId="38" fillId="0" borderId="0" xfId="0" applyFont="1" applyFill="1" applyAlignment="1">
      <alignment wrapText="1"/>
    </xf>
    <xf numFmtId="1" fontId="45" fillId="0" borderId="0" xfId="1" applyNumberFormat="1" applyFont="1" applyFill="1"/>
    <xf numFmtId="37" fontId="45" fillId="0" borderId="0" xfId="168" applyNumberFormat="1" applyFont="1" applyFill="1" applyAlignment="1">
      <alignment horizontal="centerContinuous"/>
    </xf>
    <xf numFmtId="0" fontId="44" fillId="0" borderId="0" xfId="0" applyFont="1" applyFill="1" applyAlignment="1">
      <alignment horizontal="center"/>
    </xf>
    <xf numFmtId="37" fontId="44" fillId="0" borderId="0" xfId="0" applyNumberFormat="1" applyFont="1" applyFill="1" applyAlignment="1">
      <alignment horizontal="center"/>
    </xf>
    <xf numFmtId="164" fontId="45" fillId="0" borderId="1" xfId="1" applyFont="1" applyFill="1" applyBorder="1" applyAlignment="1">
      <alignment horizontal="center"/>
    </xf>
    <xf numFmtId="37" fontId="45" fillId="0" borderId="1" xfId="168" applyNumberFormat="1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37" fontId="44" fillId="0" borderId="1" xfId="0" applyNumberFormat="1" applyFont="1" applyFill="1" applyBorder="1" applyAlignment="1">
      <alignment horizontal="center"/>
    </xf>
    <xf numFmtId="164" fontId="45" fillId="0" borderId="0" xfId="1" applyFont="1" applyFill="1" applyAlignment="1">
      <alignment horizontal="center"/>
    </xf>
    <xf numFmtId="37" fontId="45" fillId="0" borderId="0" xfId="168" applyNumberFormat="1" applyFont="1" applyFill="1" applyAlignment="1">
      <alignment horizontal="center"/>
    </xf>
    <xf numFmtId="164" fontId="5" fillId="0" borderId="0" xfId="1" applyFont="1" applyFill="1"/>
    <xf numFmtId="37" fontId="5" fillId="0" borderId="0" xfId="168" quotePrefix="1" applyNumberFormat="1" applyFont="1" applyFill="1" applyAlignment="1">
      <alignment horizontal="center"/>
    </xf>
    <xf numFmtId="0" fontId="43" fillId="0" borderId="0" xfId="0" applyFont="1" applyFill="1" applyBorder="1"/>
    <xf numFmtId="37" fontId="43" fillId="0" borderId="0" xfId="0" applyNumberFormat="1" applyFont="1" applyFill="1" applyBorder="1"/>
    <xf numFmtId="164" fontId="5" fillId="0" borderId="0" xfId="168" applyFont="1" applyFill="1" applyAlignment="1">
      <alignment horizontal="left"/>
    </xf>
    <xf numFmtId="37" fontId="5" fillId="0" borderId="1" xfId="168" applyNumberFormat="1" applyFont="1" applyFill="1" applyBorder="1"/>
    <xf numFmtId="41" fontId="5" fillId="0" borderId="1" xfId="168" applyNumberFormat="1" applyFont="1" applyFill="1" applyBorder="1"/>
    <xf numFmtId="37" fontId="5" fillId="0" borderId="1" xfId="0" applyNumberFormat="1" applyFont="1" applyFill="1" applyBorder="1"/>
    <xf numFmtId="41" fontId="5" fillId="0" borderId="1" xfId="155" applyNumberFormat="1" applyFont="1" applyFill="1" applyBorder="1"/>
    <xf numFmtId="37" fontId="5" fillId="0" borderId="6" xfId="0" applyNumberFormat="1" applyFont="1" applyFill="1" applyBorder="1"/>
    <xf numFmtId="37" fontId="5" fillId="0" borderId="17" xfId="155" applyNumberFormat="1" applyFont="1" applyFill="1" applyBorder="1"/>
    <xf numFmtId="41" fontId="5" fillId="0" borderId="17" xfId="155" applyNumberFormat="1" applyFont="1" applyFill="1" applyBorder="1"/>
    <xf numFmtId="164" fontId="45" fillId="0" borderId="0" xfId="168" applyFont="1" applyFill="1" applyAlignment="1">
      <alignment horizontal="left"/>
    </xf>
    <xf numFmtId="37" fontId="5" fillId="0" borderId="3" xfId="168" applyNumberFormat="1" applyFont="1" applyFill="1" applyBorder="1"/>
    <xf numFmtId="37" fontId="5" fillId="0" borderId="2" xfId="168" applyNumberFormat="1" applyFont="1" applyFill="1" applyBorder="1"/>
    <xf numFmtId="164" fontId="5" fillId="0" borderId="0" xfId="168" applyFont="1" applyFill="1"/>
    <xf numFmtId="164" fontId="48" fillId="0" borderId="0" xfId="168" applyFont="1" applyFill="1" applyAlignment="1">
      <alignment horizontal="left"/>
    </xf>
    <xf numFmtId="37" fontId="5" fillId="0" borderId="19" xfId="168" applyNumberFormat="1" applyFont="1" applyFill="1" applyBorder="1"/>
    <xf numFmtId="41" fontId="5" fillId="0" borderId="6" xfId="168" applyNumberFormat="1" applyFont="1" applyFill="1" applyBorder="1"/>
    <xf numFmtId="37" fontId="5" fillId="0" borderId="7" xfId="168" applyNumberFormat="1" applyFont="1" applyFill="1" applyBorder="1"/>
    <xf numFmtId="164" fontId="5" fillId="0" borderId="0" xfId="1" applyFont="1" applyFill="1" applyAlignment="1">
      <alignment horizontal="left"/>
    </xf>
    <xf numFmtId="37" fontId="5" fillId="0" borderId="0" xfId="168" applyNumberFormat="1" applyFont="1" applyFill="1" applyBorder="1"/>
    <xf numFmtId="41" fontId="5" fillId="0" borderId="0" xfId="168" applyNumberFormat="1" applyFont="1" applyFill="1"/>
    <xf numFmtId="37" fontId="5" fillId="0" borderId="1" xfId="10" applyNumberFormat="1" applyFont="1" applyFill="1" applyBorder="1"/>
    <xf numFmtId="41" fontId="5" fillId="0" borderId="1" xfId="10" applyNumberFormat="1" applyFont="1" applyFill="1" applyBorder="1"/>
    <xf numFmtId="41" fontId="5" fillId="0" borderId="6" xfId="10" applyNumberFormat="1" applyFont="1" applyFill="1" applyBorder="1"/>
    <xf numFmtId="41" fontId="5" fillId="0" borderId="0" xfId="10" applyNumberFormat="1" applyFont="1" applyFill="1"/>
    <xf numFmtId="37" fontId="5" fillId="0" borderId="4" xfId="168" applyNumberFormat="1" applyFont="1" applyFill="1" applyBorder="1"/>
    <xf numFmtId="1" fontId="5" fillId="0" borderId="0" xfId="1" applyNumberFormat="1" applyFont="1" applyFill="1"/>
    <xf numFmtId="37" fontId="43" fillId="0" borderId="4" xfId="0" applyNumberFormat="1" applyFont="1" applyFill="1" applyBorder="1"/>
    <xf numFmtId="37" fontId="43" fillId="0" borderId="1" xfId="0" applyNumberFormat="1" applyFont="1" applyFill="1" applyBorder="1"/>
    <xf numFmtId="0" fontId="43" fillId="0" borderId="1" xfId="0" applyFont="1" applyFill="1" applyBorder="1"/>
    <xf numFmtId="0" fontId="43" fillId="0" borderId="4" xfId="0" applyFont="1" applyFill="1" applyBorder="1"/>
    <xf numFmtId="5" fontId="43" fillId="0" borderId="4" xfId="0" applyNumberFormat="1" applyFont="1" applyFill="1" applyBorder="1"/>
    <xf numFmtId="0" fontId="49" fillId="0" borderId="0" xfId="0" applyFont="1" applyFill="1"/>
    <xf numFmtId="164" fontId="5" fillId="0" borderId="0" xfId="168" applyFont="1" applyFill="1" applyAlignment="1">
      <alignment horizontal="left" vertical="top" wrapText="1"/>
    </xf>
    <xf numFmtId="0" fontId="35" fillId="0" borderId="0" xfId="0" applyFont="1" applyFill="1" applyAlignment="1">
      <alignment horizontal="center" wrapText="1"/>
    </xf>
    <xf numFmtId="37" fontId="5" fillId="0" borderId="1" xfId="5" applyNumberFormat="1" applyFont="1" applyFill="1" applyBorder="1" applyProtection="1"/>
    <xf numFmtId="37" fontId="5" fillId="0" borderId="4" xfId="5" applyNumberFormat="1" applyFont="1" applyFill="1" applyBorder="1" applyProtection="1"/>
    <xf numFmtId="37" fontId="5" fillId="0" borderId="3" xfId="5" applyNumberFormat="1" applyFont="1" applyFill="1" applyBorder="1" applyProtection="1"/>
    <xf numFmtId="5" fontId="34" fillId="0" borderId="1" xfId="5" applyNumberFormat="1" applyFont="1" applyFill="1" applyBorder="1"/>
    <xf numFmtId="5" fontId="34" fillId="0" borderId="4" xfId="5" applyNumberFormat="1" applyFont="1" applyFill="1" applyBorder="1"/>
    <xf numFmtId="10" fontId="5" fillId="25" borderId="5" xfId="168" applyNumberFormat="1" applyFont="1" applyFill="1" applyBorder="1"/>
    <xf numFmtId="164" fontId="5" fillId="25" borderId="5" xfId="168" applyFont="1" applyFill="1" applyBorder="1"/>
    <xf numFmtId="0" fontId="40" fillId="26" borderId="0" xfId="0" applyFont="1" applyFill="1" applyAlignment="1">
      <alignment horizontal="center" wrapText="1"/>
    </xf>
    <xf numFmtId="164" fontId="46" fillId="27" borderId="0" xfId="1" applyFont="1" applyFill="1" applyAlignment="1">
      <alignment horizontal="left"/>
    </xf>
    <xf numFmtId="164" fontId="46" fillId="27" borderId="0" xfId="1" applyFont="1" applyFill="1"/>
    <xf numFmtId="164" fontId="5" fillId="0" borderId="0" xfId="168" applyFont="1" applyFill="1" applyAlignment="1">
      <alignment vertical="top" wrapText="1"/>
    </xf>
    <xf numFmtId="0" fontId="40" fillId="26" borderId="0" xfId="0" applyFont="1" applyFill="1" applyBorder="1" applyAlignment="1">
      <alignment horizontal="center" wrapText="1"/>
    </xf>
    <xf numFmtId="37" fontId="34" fillId="25" borderId="4" xfId="5" applyNumberFormat="1" applyFont="1" applyFill="1" applyBorder="1" applyProtection="1"/>
    <xf numFmtId="41" fontId="34" fillId="25" borderId="4" xfId="5" applyNumberFormat="1" applyFont="1" applyFill="1" applyBorder="1" applyProtection="1"/>
    <xf numFmtId="37" fontId="34" fillId="25" borderId="4" xfId="0" applyNumberFormat="1" applyFont="1" applyFill="1" applyBorder="1" applyProtection="1"/>
    <xf numFmtId="37" fontId="34" fillId="25" borderId="4" xfId="155" applyNumberFormat="1" applyFont="1" applyFill="1" applyBorder="1" applyProtection="1"/>
    <xf numFmtId="37" fontId="34" fillId="25" borderId="4" xfId="155" applyNumberFormat="1" applyFont="1" applyFill="1" applyBorder="1"/>
    <xf numFmtId="5" fontId="34" fillId="0" borderId="18" xfId="5" applyNumberFormat="1" applyFont="1" applyFill="1" applyBorder="1"/>
    <xf numFmtId="10" fontId="34" fillId="0" borderId="18" xfId="5" applyNumberFormat="1" applyFont="1" applyFill="1" applyBorder="1" applyProtection="1"/>
    <xf numFmtId="37" fontId="34" fillId="24" borderId="3" xfId="166" applyNumberFormat="1" applyFont="1" applyFill="1" applyBorder="1"/>
    <xf numFmtId="164" fontId="5" fillId="0" borderId="0" xfId="168" applyFont="1" applyFill="1" applyAlignment="1">
      <alignment horizontal="left" vertical="top"/>
    </xf>
    <xf numFmtId="164" fontId="5" fillId="0" borderId="0" xfId="1" applyFont="1" applyFill="1" applyAlignment="1">
      <alignment horizontal="left" vertical="top"/>
    </xf>
    <xf numFmtId="164" fontId="5" fillId="0" borderId="0" xfId="168" applyFont="1" applyFill="1" applyAlignment="1">
      <alignment horizontal="left" vertical="top"/>
    </xf>
    <xf numFmtId="164" fontId="5" fillId="0" borderId="0" xfId="168" applyFont="1" applyFill="1" applyAlignment="1">
      <alignment horizontal="left" vertical="top" wrapText="1"/>
    </xf>
    <xf numFmtId="164" fontId="5" fillId="0" borderId="0" xfId="1" applyFont="1" applyFill="1" applyAlignment="1">
      <alignment horizontal="left" vertical="top"/>
    </xf>
    <xf numFmtId="164" fontId="3" fillId="0" borderId="0" xfId="169" applyFont="1"/>
    <xf numFmtId="164" fontId="3" fillId="0" borderId="0" xfId="197" applyFont="1" applyAlignment="1">
      <alignment wrapText="1"/>
    </xf>
    <xf numFmtId="164" fontId="45" fillId="0" borderId="0" xfId="168" applyFont="1" applyFill="1" applyAlignment="1">
      <alignment horizontal="left" vertical="top" wrapText="1"/>
    </xf>
    <xf numFmtId="164" fontId="5" fillId="0" borderId="0" xfId="168" applyFont="1" applyFill="1" applyAlignment="1">
      <alignment horizontal="left" vertical="top" wrapText="1"/>
    </xf>
    <xf numFmtId="164" fontId="5" fillId="0" borderId="0" xfId="1" applyFont="1" applyFill="1" applyAlignment="1">
      <alignment horizontal="left" vertical="top"/>
    </xf>
    <xf numFmtId="164" fontId="5" fillId="0" borderId="0" xfId="168" applyFont="1" applyFill="1" applyAlignment="1">
      <alignment horizontal="left" vertical="top"/>
    </xf>
    <xf numFmtId="0" fontId="44" fillId="0" borderId="20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</cellXfs>
  <cellStyles count="211">
    <cellStyle name="20% - Accent1 2" xfId="96" xr:uid="{00000000-0005-0000-0000-000000000000}"/>
    <cellStyle name="20% - Accent2 2" xfId="97" xr:uid="{00000000-0005-0000-0000-000001000000}"/>
    <cellStyle name="20% - Accent3 2" xfId="98" xr:uid="{00000000-0005-0000-0000-000002000000}"/>
    <cellStyle name="20% - Accent4 2" xfId="99" xr:uid="{00000000-0005-0000-0000-000003000000}"/>
    <cellStyle name="20% - Accent5 2" xfId="100" xr:uid="{00000000-0005-0000-0000-000004000000}"/>
    <cellStyle name="20% - Accent6 2" xfId="101" xr:uid="{00000000-0005-0000-0000-000005000000}"/>
    <cellStyle name="40% - Accent1 2" xfId="102" xr:uid="{00000000-0005-0000-0000-000006000000}"/>
    <cellStyle name="40% - Accent2 2" xfId="103" xr:uid="{00000000-0005-0000-0000-000007000000}"/>
    <cellStyle name="40% - Accent3 2" xfId="104" xr:uid="{00000000-0005-0000-0000-000008000000}"/>
    <cellStyle name="40% - Accent4 2" xfId="105" xr:uid="{00000000-0005-0000-0000-000009000000}"/>
    <cellStyle name="40% - Accent5 2" xfId="106" xr:uid="{00000000-0005-0000-0000-00000A000000}"/>
    <cellStyle name="40% - Accent6 2" xfId="107" xr:uid="{00000000-0005-0000-0000-00000B000000}"/>
    <cellStyle name="60% - Accent1 2" xfId="108" xr:uid="{00000000-0005-0000-0000-00000C000000}"/>
    <cellStyle name="60% - Accent2 2" xfId="109" xr:uid="{00000000-0005-0000-0000-00000D000000}"/>
    <cellStyle name="60% - Accent3 2" xfId="110" xr:uid="{00000000-0005-0000-0000-00000E000000}"/>
    <cellStyle name="60% - Accent4 2" xfId="111" xr:uid="{00000000-0005-0000-0000-00000F000000}"/>
    <cellStyle name="60% - Accent5 2" xfId="112" xr:uid="{00000000-0005-0000-0000-000010000000}"/>
    <cellStyle name="60% - Accent6 2" xfId="113" xr:uid="{00000000-0005-0000-0000-000011000000}"/>
    <cellStyle name="Accent1 2" xfId="114" xr:uid="{00000000-0005-0000-0000-000012000000}"/>
    <cellStyle name="Accent2 2" xfId="115" xr:uid="{00000000-0005-0000-0000-000013000000}"/>
    <cellStyle name="Accent3 2" xfId="116" xr:uid="{00000000-0005-0000-0000-000014000000}"/>
    <cellStyle name="Accent4 2" xfId="117" xr:uid="{00000000-0005-0000-0000-000015000000}"/>
    <cellStyle name="Accent5 2" xfId="118" xr:uid="{00000000-0005-0000-0000-000016000000}"/>
    <cellStyle name="Accent6 2" xfId="119" xr:uid="{00000000-0005-0000-0000-000017000000}"/>
    <cellStyle name="Bad 2" xfId="120" xr:uid="{00000000-0005-0000-0000-000018000000}"/>
    <cellStyle name="Calculation 2" xfId="121" xr:uid="{00000000-0005-0000-0000-000019000000}"/>
    <cellStyle name="Check Cell 2" xfId="122" xr:uid="{00000000-0005-0000-0000-00001A000000}"/>
    <cellStyle name="Comma 10" xfId="15" xr:uid="{00000000-0005-0000-0000-00001B000000}"/>
    <cellStyle name="Comma 10 2" xfId="66" xr:uid="{00000000-0005-0000-0000-00001C000000}"/>
    <cellStyle name="Comma 2" xfId="7" xr:uid="{00000000-0005-0000-0000-00001D000000}"/>
    <cellStyle name="Comma 2 2" xfId="16" xr:uid="{00000000-0005-0000-0000-00001E000000}"/>
    <cellStyle name="Comma 2 2 2" xfId="141" xr:uid="{00000000-0005-0000-0000-00001F000000}"/>
    <cellStyle name="Comma 2 2 2 2" xfId="202" xr:uid="{5B15AB16-DE01-4C5F-B134-ADE339747873}"/>
    <cellStyle name="Comma 2 2 3" xfId="177" xr:uid="{E3A43158-EF0A-442D-A4BF-43FB2120B10E}"/>
    <cellStyle name="Comma 2 3" xfId="17" xr:uid="{00000000-0005-0000-0000-000020000000}"/>
    <cellStyle name="Comma 2 3 2" xfId="140" xr:uid="{00000000-0005-0000-0000-000021000000}"/>
    <cellStyle name="Comma 2 3 3" xfId="174" xr:uid="{BE2E2698-8584-4D1F-B855-A02DE77AB217}"/>
    <cellStyle name="Comma 2 4" xfId="18" xr:uid="{00000000-0005-0000-0000-000022000000}"/>
    <cellStyle name="Comma 2 4 2" xfId="185" xr:uid="{5B4FA99C-D78F-477F-AD07-509946F32B48}"/>
    <cellStyle name="Comma 2 5" xfId="200" xr:uid="{1513AC9A-9D35-4332-8A83-611D912D1D6F}"/>
    <cellStyle name="Comma 3" xfId="8" xr:uid="{00000000-0005-0000-0000-000023000000}"/>
    <cellStyle name="Comma 4" xfId="2" xr:uid="{00000000-0005-0000-0000-000024000000}"/>
    <cellStyle name="Comma 4 2" xfId="184" xr:uid="{D11DA679-5515-433E-AA82-73089D3D4C5F}"/>
    <cellStyle name="Comma 5" xfId="19" xr:uid="{00000000-0005-0000-0000-000025000000}"/>
    <cellStyle name="Comma 6" xfId="20" xr:uid="{00000000-0005-0000-0000-000026000000}"/>
    <cellStyle name="Comma 7" xfId="21" xr:uid="{00000000-0005-0000-0000-000027000000}"/>
    <cellStyle name="Comma 8" xfId="22" xr:uid="{00000000-0005-0000-0000-000028000000}"/>
    <cellStyle name="Comma 9" xfId="23" xr:uid="{00000000-0005-0000-0000-000029000000}"/>
    <cellStyle name="Currency" xfId="166" builtinId="4"/>
    <cellStyle name="Currency 2" xfId="9" xr:uid="{00000000-0005-0000-0000-00002B000000}"/>
    <cellStyle name="Currency 2 2" xfId="24" xr:uid="{00000000-0005-0000-0000-00002C000000}"/>
    <cellStyle name="Currency 2 2 2" xfId="74" xr:uid="{00000000-0005-0000-0000-00002D000000}"/>
    <cellStyle name="Currency 2 2 3" xfId="154" xr:uid="{00000000-0005-0000-0000-00002E000000}"/>
    <cellStyle name="Currency 2 2 3 2" xfId="203" xr:uid="{1DC8DD96-0FFA-4630-8085-D8F3404F088B}"/>
    <cellStyle name="Currency 2 2 4" xfId="178" xr:uid="{1C3FD096-4F89-4E27-88B4-9A03760F8976}"/>
    <cellStyle name="Currency 2 3" xfId="138" xr:uid="{00000000-0005-0000-0000-00002F000000}"/>
    <cellStyle name="Currency 2 3 2" xfId="175" xr:uid="{049DC7B2-E36B-4F21-8E8F-E402FEEDBB9B}"/>
    <cellStyle name="Currency 2 4" xfId="67" xr:uid="{00000000-0005-0000-0000-000030000000}"/>
    <cellStyle name="Currency 2 4 2" xfId="186" xr:uid="{8B2BB142-69EE-4851-8CC3-41AAE91E5CAF}"/>
    <cellStyle name="Currency 2 5" xfId="201" xr:uid="{7B4623F0-0585-4C0D-8B75-C3C4C50DF17A}"/>
    <cellStyle name="Currency 3" xfId="10" xr:uid="{00000000-0005-0000-0000-000031000000}"/>
    <cellStyle name="Currency 3 2" xfId="72" xr:uid="{00000000-0005-0000-0000-000032000000}"/>
    <cellStyle name="Currency 3 3" xfId="142" xr:uid="{00000000-0005-0000-0000-000033000000}"/>
    <cellStyle name="Currency 3 4" xfId="44" xr:uid="{00000000-0005-0000-0000-000034000000}"/>
    <cellStyle name="Currency 4" xfId="3" xr:uid="{00000000-0005-0000-0000-000035000000}"/>
    <cellStyle name="Currency 4 2" xfId="25" xr:uid="{00000000-0005-0000-0000-000036000000}"/>
    <cellStyle name="Currency 4 2 2" xfId="139" xr:uid="{00000000-0005-0000-0000-000037000000}"/>
    <cellStyle name="Currency 4 3" xfId="77" xr:uid="{00000000-0005-0000-0000-000038000000}"/>
    <cellStyle name="Currency 5" xfId="26" xr:uid="{00000000-0005-0000-0000-000039000000}"/>
    <cellStyle name="Currency 5 2" xfId="43" xr:uid="{00000000-0005-0000-0000-00003A000000}"/>
    <cellStyle name="Currency 6" xfId="27" xr:uid="{00000000-0005-0000-0000-00003B000000}"/>
    <cellStyle name="Euro" xfId="28" xr:uid="{00000000-0005-0000-0000-00003C000000}"/>
    <cellStyle name="Excel Built-in Currency" xfId="146" xr:uid="{00000000-0005-0000-0000-00003D000000}"/>
    <cellStyle name="Excel Built-in Excel Built-in Normal" xfId="69" xr:uid="{00000000-0005-0000-0000-00003E000000}"/>
    <cellStyle name="Excel Built-in Normal" xfId="65" xr:uid="{00000000-0005-0000-0000-00003F000000}"/>
    <cellStyle name="Excel Built-in Normal 2" xfId="68" xr:uid="{00000000-0005-0000-0000-000040000000}"/>
    <cellStyle name="Excel Built-in Normal 2 2" xfId="147" xr:uid="{00000000-0005-0000-0000-000041000000}"/>
    <cellStyle name="Excel Built-in Normal_One-Time &amp; Capital" xfId="70" xr:uid="{00000000-0005-0000-0000-000042000000}"/>
    <cellStyle name="Explanatory Text 2" xfId="123" xr:uid="{00000000-0005-0000-0000-000043000000}"/>
    <cellStyle name="Good 2" xfId="124" xr:uid="{00000000-0005-0000-0000-000044000000}"/>
    <cellStyle name="Heading 1 2" xfId="125" xr:uid="{00000000-0005-0000-0000-000045000000}"/>
    <cellStyle name="Heading 2 2" xfId="126" xr:uid="{00000000-0005-0000-0000-000046000000}"/>
    <cellStyle name="Heading 3 2" xfId="127" xr:uid="{00000000-0005-0000-0000-000047000000}"/>
    <cellStyle name="Heading 4 2" xfId="128" xr:uid="{00000000-0005-0000-0000-000048000000}"/>
    <cellStyle name="Input 2" xfId="129" xr:uid="{00000000-0005-0000-0000-000049000000}"/>
    <cellStyle name="Linked Cell 2" xfId="130" xr:uid="{00000000-0005-0000-0000-00004A000000}"/>
    <cellStyle name="Neutral 2" xfId="131" xr:uid="{00000000-0005-0000-0000-00004B000000}"/>
    <cellStyle name="Normal" xfId="0" builtinId="0"/>
    <cellStyle name="Normal 10" xfId="50" xr:uid="{00000000-0005-0000-0000-00004D000000}"/>
    <cellStyle name="Normal 10 2" xfId="81" xr:uid="{00000000-0005-0000-0000-00004E000000}"/>
    <cellStyle name="Normal 11" xfId="49" xr:uid="{00000000-0005-0000-0000-00004F000000}"/>
    <cellStyle name="Normal 11 2" xfId="80" xr:uid="{00000000-0005-0000-0000-000050000000}"/>
    <cellStyle name="Normal 12" xfId="45" xr:uid="{00000000-0005-0000-0000-000051000000}"/>
    <cellStyle name="Normal 12 2" xfId="75" xr:uid="{00000000-0005-0000-0000-000052000000}"/>
    <cellStyle name="Normal 13" xfId="53" xr:uid="{00000000-0005-0000-0000-000053000000}"/>
    <cellStyle name="Normal 13 2" xfId="85" xr:uid="{00000000-0005-0000-0000-000054000000}"/>
    <cellStyle name="Normal 13 2 2" xfId="150" xr:uid="{00000000-0005-0000-0000-000055000000}"/>
    <cellStyle name="Normal 13 2 2 2" xfId="157" xr:uid="{00000000-0005-0000-0000-000056000000}"/>
    <cellStyle name="Normal 13 2 2_Review" xfId="156" xr:uid="{00000000-0005-0000-0000-000057000000}"/>
    <cellStyle name="Normal 14" xfId="54" xr:uid="{00000000-0005-0000-0000-000058000000}"/>
    <cellStyle name="Normal 14 2" xfId="86" xr:uid="{00000000-0005-0000-0000-000059000000}"/>
    <cellStyle name="Normal 14 2 2" xfId="151" xr:uid="{00000000-0005-0000-0000-00005A000000}"/>
    <cellStyle name="Normal 15" xfId="58" xr:uid="{00000000-0005-0000-0000-00005B000000}"/>
    <cellStyle name="Normal 15 2" xfId="90" xr:uid="{00000000-0005-0000-0000-00005C000000}"/>
    <cellStyle name="Normal 16" xfId="55" xr:uid="{00000000-0005-0000-0000-00005D000000}"/>
    <cellStyle name="Normal 16 2" xfId="87" xr:uid="{00000000-0005-0000-0000-00005E000000}"/>
    <cellStyle name="Normal 17" xfId="48" xr:uid="{00000000-0005-0000-0000-00005F000000}"/>
    <cellStyle name="Normal 17 2" xfId="79" xr:uid="{00000000-0005-0000-0000-000060000000}"/>
    <cellStyle name="Normal 18" xfId="59" xr:uid="{00000000-0005-0000-0000-000061000000}"/>
    <cellStyle name="Normal 18 2" xfId="91" xr:uid="{00000000-0005-0000-0000-000062000000}"/>
    <cellStyle name="Normal 19" xfId="56" xr:uid="{00000000-0005-0000-0000-000063000000}"/>
    <cellStyle name="Normal 19 2" xfId="88" xr:uid="{00000000-0005-0000-0000-000064000000}"/>
    <cellStyle name="Normal 2" xfId="11" xr:uid="{00000000-0005-0000-0000-000065000000}"/>
    <cellStyle name="Normal 2 2" xfId="29" xr:uid="{00000000-0005-0000-0000-000066000000}"/>
    <cellStyle name="Normal 2 2 2" xfId="64" xr:uid="{00000000-0005-0000-0000-000067000000}"/>
    <cellStyle name="Normal 2 2 2 2" xfId="196" xr:uid="{5260AC79-A473-4433-B816-5DA34F6046C8}"/>
    <cellStyle name="Normal 2 2_Review" xfId="159" xr:uid="{00000000-0005-0000-0000-000068000000}"/>
    <cellStyle name="Normal 2 3" xfId="46" xr:uid="{00000000-0005-0000-0000-000069000000}"/>
    <cellStyle name="Normal 2 3 2" xfId="204" xr:uid="{4AD771DF-73E5-4146-921F-FF2083675882}"/>
    <cellStyle name="Normal 2 3 3" xfId="179" xr:uid="{D147AD62-3DDE-405E-B219-B1112B27C573}"/>
    <cellStyle name="Normal 2 4" xfId="187" xr:uid="{E90D2A4A-D0BA-447C-ACAD-30D9CEF67E51}"/>
    <cellStyle name="Normal 2_Review" xfId="158" xr:uid="{00000000-0005-0000-0000-00006A000000}"/>
    <cellStyle name="Normal 20" xfId="63" xr:uid="{00000000-0005-0000-0000-00006B000000}"/>
    <cellStyle name="Normal 20 2" xfId="84" xr:uid="{00000000-0005-0000-0000-00006C000000}"/>
    <cellStyle name="Normal 21" xfId="60" xr:uid="{00000000-0005-0000-0000-00006D000000}"/>
    <cellStyle name="Normal 21 2" xfId="92" xr:uid="{00000000-0005-0000-0000-00006E000000}"/>
    <cellStyle name="Normal 22" xfId="61" xr:uid="{00000000-0005-0000-0000-00006F000000}"/>
    <cellStyle name="Normal 22 2" xfId="93" xr:uid="{00000000-0005-0000-0000-000070000000}"/>
    <cellStyle name="Normal 23" xfId="62" xr:uid="{00000000-0005-0000-0000-000071000000}"/>
    <cellStyle name="Normal 23 2" xfId="94" xr:uid="{00000000-0005-0000-0000-000072000000}"/>
    <cellStyle name="Normal 24" xfId="57" xr:uid="{00000000-0005-0000-0000-000073000000}"/>
    <cellStyle name="Normal 24 2" xfId="89" xr:uid="{00000000-0005-0000-0000-000074000000}"/>
    <cellStyle name="Normal 25" xfId="42" xr:uid="{00000000-0005-0000-0000-000075000000}"/>
    <cellStyle name="Normal 26" xfId="160" xr:uid="{00000000-0005-0000-0000-000076000000}"/>
    <cellStyle name="Normal 27" xfId="169" xr:uid="{03658022-A758-4AD0-BF29-C2EDA1CBF1A4}"/>
    <cellStyle name="Normal 28" xfId="194" xr:uid="{94E5254A-2511-40EE-B7B9-31C479AB048A}"/>
    <cellStyle name="Normal 3" xfId="5" xr:uid="{00000000-0005-0000-0000-000077000000}"/>
    <cellStyle name="Normal 3 2" xfId="30" xr:uid="{00000000-0005-0000-0000-000078000000}"/>
    <cellStyle name="Normal 3 2 2" xfId="152" xr:uid="{00000000-0005-0000-0000-000079000000}"/>
    <cellStyle name="Normal 3 2 2 2" xfId="181" xr:uid="{F70EBACE-6346-42C1-8BF2-8C50304B8F88}"/>
    <cellStyle name="Normal 3 2 3" xfId="95" xr:uid="{00000000-0005-0000-0000-00007A000000}"/>
    <cellStyle name="Normal 3 2 3 2" xfId="190" xr:uid="{6027B63A-9363-41D6-A791-56B94F20B7F4}"/>
    <cellStyle name="Normal 3 2 4" xfId="168" xr:uid="{3C42DB47-3A32-4649-BF7B-13A693868EE2}"/>
    <cellStyle name="Normal 3 2 4 2" xfId="207" xr:uid="{C59FB019-27F1-47E1-9A92-99B9B2280529}"/>
    <cellStyle name="Normal 3 2_Review" xfId="161" xr:uid="{00000000-0005-0000-0000-00007B000000}"/>
    <cellStyle name="Normal 3 3" xfId="31" xr:uid="{00000000-0005-0000-0000-00007C000000}"/>
    <cellStyle name="Normal 3 3 2" xfId="32" xr:uid="{00000000-0005-0000-0000-00007D000000}"/>
    <cellStyle name="Normal 3 3 2 2" xfId="33" xr:uid="{00000000-0005-0000-0000-00007E000000}"/>
    <cellStyle name="Normal 3 3 3" xfId="73" xr:uid="{00000000-0005-0000-0000-00007F000000}"/>
    <cellStyle name="Normal 3 3 3 2" xfId="189" xr:uid="{329A9B92-8EAA-494B-BFC7-F49ADCC3DE3C}"/>
    <cellStyle name="Normal 3 3 4" xfId="206" xr:uid="{E9E27EE9-680A-455D-BEC5-9C1D00C7B3FF}"/>
    <cellStyle name="Normal 3 3_Review" xfId="162" xr:uid="{00000000-0005-0000-0000-000080000000}"/>
    <cellStyle name="Normal 3 4" xfId="176" xr:uid="{964DD74F-BCB6-413D-82FD-2E594D3DB12F}"/>
    <cellStyle name="Normal 3 5" xfId="172" xr:uid="{BB39918B-1E85-480E-82FE-EEF74D7BBF5E}"/>
    <cellStyle name="Normal 3 6" xfId="198" xr:uid="{4024C208-30DF-462A-9896-B4CC01C673C2}"/>
    <cellStyle name="Normal 4" xfId="1" xr:uid="{00000000-0005-0000-0000-000081000000}"/>
    <cellStyle name="Normal 4 2" xfId="76" xr:uid="{00000000-0005-0000-0000-000082000000}"/>
    <cellStyle name="Normal 4 2 2" xfId="183" xr:uid="{9EB919BD-A137-4C9C-BFE4-B68E50E795B0}"/>
    <cellStyle name="Normal 4 2 3" xfId="192" xr:uid="{1A2F555B-8513-4B24-B163-8F9CBD4EED5A}"/>
    <cellStyle name="Normal 4 2 4" xfId="210" xr:uid="{833306F6-E40D-492E-9D76-8D7EAF140768}"/>
    <cellStyle name="Normal 4 2 5" xfId="171" xr:uid="{CE2A96D4-70EA-498E-ACBA-1CF120FD8243}"/>
    <cellStyle name="Normal 4 3" xfId="153" xr:uid="{00000000-0005-0000-0000-000083000000}"/>
    <cellStyle name="Normal 4 3 2" xfId="197" xr:uid="{6B0562E2-CD44-44D1-8531-11298E3F8B05}"/>
    <cellStyle name="Normal 4 3 3" xfId="208" xr:uid="{D0F4834F-298F-4384-A4C5-B90475E43EB8}"/>
    <cellStyle name="Normal 4 3 4" xfId="182" xr:uid="{F85F162D-03AF-4C8D-BA1C-200FFCB51D7A}"/>
    <cellStyle name="Normal 4 4" xfId="173" xr:uid="{9A02D8CE-76C4-4A8D-99F2-784DD0CFC81C}"/>
    <cellStyle name="Normal 4 5" xfId="191" xr:uid="{97182160-F40C-4F74-ABEF-8E1C1B7A841A}"/>
    <cellStyle name="Normal 4 6" xfId="195" xr:uid="{8EBCD0CD-06B3-4FEE-91F5-6FF2656B55C2}"/>
    <cellStyle name="Normal 4 7" xfId="199" xr:uid="{9883B36B-DFCF-40EA-B634-D9A63201812C}"/>
    <cellStyle name="Normal 4 8" xfId="170" xr:uid="{FEE34620-CA1B-4CAF-B46B-9A9EC7F3BCC9}"/>
    <cellStyle name="Normal 5" xfId="13" xr:uid="{00000000-0005-0000-0000-000084000000}"/>
    <cellStyle name="Normal 5 2" xfId="148" xr:uid="{00000000-0005-0000-0000-000085000000}"/>
    <cellStyle name="Normal 5 3" xfId="71" xr:uid="{00000000-0005-0000-0000-000086000000}"/>
    <cellStyle name="Normal 5 4" xfId="14" xr:uid="{00000000-0005-0000-0000-000087000000}"/>
    <cellStyle name="Normal 5 4 2" xfId="209" xr:uid="{829154A0-BD3F-47C2-9F10-4C4796C403E2}"/>
    <cellStyle name="Normal 5_Review" xfId="163" xr:uid="{00000000-0005-0000-0000-000088000000}"/>
    <cellStyle name="Normal 6" xfId="34" xr:uid="{00000000-0005-0000-0000-000089000000}"/>
    <cellStyle name="Normal 6 2" xfId="83" xr:uid="{00000000-0005-0000-0000-00008A000000}"/>
    <cellStyle name="Normal 6 2 2" xfId="149" xr:uid="{00000000-0005-0000-0000-00008B000000}"/>
    <cellStyle name="Normal 6 3" xfId="52" xr:uid="{00000000-0005-0000-0000-00008C000000}"/>
    <cellStyle name="Normal 6 4" xfId="40" xr:uid="{00000000-0005-0000-0000-00008D000000}"/>
    <cellStyle name="Normal 6_Review" xfId="164" xr:uid="{00000000-0005-0000-0000-00008E000000}"/>
    <cellStyle name="Normal 7" xfId="35" xr:uid="{00000000-0005-0000-0000-00008F000000}"/>
    <cellStyle name="Normal 7 2" xfId="78" xr:uid="{00000000-0005-0000-0000-000090000000}"/>
    <cellStyle name="Normal 7 3" xfId="47" xr:uid="{00000000-0005-0000-0000-000091000000}"/>
    <cellStyle name="Normal 7 4" xfId="41" xr:uid="{00000000-0005-0000-0000-000092000000}"/>
    <cellStyle name="Normal 7 5" xfId="193" xr:uid="{0D7F26D7-BC25-4FAB-8977-90A4F47D548D}"/>
    <cellStyle name="Normal 7_Review" xfId="165" xr:uid="{00000000-0005-0000-0000-000093000000}"/>
    <cellStyle name="Normal 8" xfId="51" xr:uid="{00000000-0005-0000-0000-000094000000}"/>
    <cellStyle name="Normal 8 2" xfId="82" xr:uid="{00000000-0005-0000-0000-000095000000}"/>
    <cellStyle name="Normal 9" xfId="145" xr:uid="{00000000-0005-0000-0000-000096000000}"/>
    <cellStyle name="Normal_Review" xfId="155" xr:uid="{00000000-0005-0000-0000-000097000000}"/>
    <cellStyle name="Note 2" xfId="143" xr:uid="{00000000-0005-0000-0000-000098000000}"/>
    <cellStyle name="Note 3" xfId="144" xr:uid="{00000000-0005-0000-0000-000099000000}"/>
    <cellStyle name="Note 4" xfId="132" xr:uid="{00000000-0005-0000-0000-00009A000000}"/>
    <cellStyle name="Output 2" xfId="133" xr:uid="{00000000-0005-0000-0000-00009B000000}"/>
    <cellStyle name="Percent" xfId="167" builtinId="5"/>
    <cellStyle name="Percent 2" xfId="12" xr:uid="{00000000-0005-0000-0000-00009D000000}"/>
    <cellStyle name="Percent 2 2" xfId="36" xr:uid="{00000000-0005-0000-0000-00009E000000}"/>
    <cellStyle name="Percent 2 2 2" xfId="180" xr:uid="{9DFAF997-A1C1-470C-9A44-EB5B5A1D29DB}"/>
    <cellStyle name="Percent 2 3" xfId="37" xr:uid="{00000000-0005-0000-0000-00009F000000}"/>
    <cellStyle name="Percent 2 3 2" xfId="188" xr:uid="{58D6B06B-B86E-49E0-8F9F-DE281EA0F210}"/>
    <cellStyle name="Percent 2 4" xfId="205" xr:uid="{729E4D70-3C0F-4651-A277-45CFABAB1BF4}"/>
    <cellStyle name="Percent 3" xfId="6" xr:uid="{00000000-0005-0000-0000-0000A0000000}"/>
    <cellStyle name="Percent 4" xfId="4" xr:uid="{00000000-0005-0000-0000-0000A1000000}"/>
    <cellStyle name="Percent 4 2" xfId="38" xr:uid="{00000000-0005-0000-0000-0000A2000000}"/>
    <cellStyle name="Percent 5" xfId="39" xr:uid="{00000000-0005-0000-0000-0000A3000000}"/>
    <cellStyle name="Style 1" xfId="134" xr:uid="{00000000-0005-0000-0000-0000A4000000}"/>
    <cellStyle name="Title 2" xfId="135" xr:uid="{00000000-0005-0000-0000-0000A5000000}"/>
    <cellStyle name="Total 2" xfId="136" xr:uid="{00000000-0005-0000-0000-0000A6000000}"/>
    <cellStyle name="Warning Text 2" xfId="137" xr:uid="{00000000-0005-0000-0000-0000A7000000}"/>
  </cellStyles>
  <dxfs count="0"/>
  <tableStyles count="0" defaultTableStyle="TableStyleMedium9" defaultPivotStyle="PivotStyleLight16"/>
  <colors>
    <mruColors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7095-D591-4A18-9C13-86FFF940759C}">
  <sheetPr>
    <pageSetUpPr fitToPage="1"/>
  </sheetPr>
  <dimension ref="A1:X152"/>
  <sheetViews>
    <sheetView showGridLines="0" tabSelected="1" zoomScale="136" zoomScaleNormal="136" workbookViewId="0">
      <pane xSplit="14" ySplit="7" topLeftCell="P8" activePane="bottomRight" state="frozen"/>
      <selection pane="topRight" activeCell="O1" sqref="O1"/>
      <selection pane="bottomLeft" activeCell="A8" sqref="A8"/>
      <selection pane="bottomRight" activeCell="C3" sqref="C3"/>
    </sheetView>
  </sheetViews>
  <sheetFormatPr defaultColWidth="9.1328125" defaultRowHeight="13.9" outlineLevelCol="1"/>
  <cols>
    <col min="1" max="1" width="2.6640625" style="91" customWidth="1"/>
    <col min="2" max="2" width="1.1328125" style="91" customWidth="1"/>
    <col min="3" max="3" width="2.46484375" style="91" customWidth="1"/>
    <col min="4" max="4" width="54.33203125" style="91" customWidth="1"/>
    <col min="5" max="14" width="12.33203125" style="91" hidden="1" customWidth="1" outlineLevel="1"/>
    <col min="15" max="15" width="12.33203125" style="91" bestFit="1" customWidth="1" collapsed="1"/>
    <col min="16" max="20" width="12.33203125" style="91" bestFit="1" customWidth="1"/>
    <col min="21" max="22" width="12.33203125" style="92" bestFit="1" customWidth="1"/>
    <col min="23" max="24" width="16" style="91" customWidth="1"/>
    <col min="25" max="16384" width="9.1328125" style="91"/>
  </cols>
  <sheetData>
    <row r="1" spans="1:24" ht="14.25" thickBot="1">
      <c r="A1" s="154" t="s">
        <v>0</v>
      </c>
      <c r="B1" s="154"/>
      <c r="C1" s="154"/>
      <c r="D1" s="155"/>
      <c r="E1" s="88"/>
      <c r="F1" s="89"/>
      <c r="G1" s="82"/>
      <c r="H1" s="82"/>
      <c r="I1" s="82"/>
      <c r="J1" s="82"/>
      <c r="K1" s="82"/>
      <c r="L1" s="90"/>
    </row>
    <row r="2" spans="1:24" ht="14.25" thickBot="1">
      <c r="A2" s="93" t="s">
        <v>120</v>
      </c>
      <c r="B2" s="93"/>
      <c r="C2" s="93"/>
      <c r="D2" s="89"/>
      <c r="E2" s="89"/>
      <c r="F2" s="89"/>
      <c r="G2" s="82"/>
      <c r="H2" s="82"/>
      <c r="I2" s="82"/>
      <c r="J2" s="82"/>
      <c r="K2" s="82"/>
      <c r="M2" s="94"/>
      <c r="N2" s="94"/>
      <c r="O2" s="94"/>
      <c r="P2" s="82"/>
      <c r="Q2" s="82"/>
      <c r="R2" s="82"/>
      <c r="S2" s="82"/>
      <c r="T2" s="82"/>
      <c r="U2" s="82"/>
      <c r="V2" s="82"/>
      <c r="W2" s="177" t="s">
        <v>158</v>
      </c>
      <c r="X2" s="178"/>
    </row>
    <row r="3" spans="1:24" s="98" customFormat="1" ht="36.75" customHeight="1">
      <c r="A3" s="64" t="s">
        <v>164</v>
      </c>
      <c r="B3" s="95"/>
      <c r="C3" s="95"/>
      <c r="D3" s="96"/>
      <c r="E3" s="96"/>
      <c r="F3" s="97"/>
      <c r="G3" s="97"/>
      <c r="H3" s="97"/>
      <c r="I3" s="97"/>
      <c r="J3" s="97"/>
      <c r="K3" s="97"/>
      <c r="M3" s="67"/>
      <c r="N3" s="67"/>
      <c r="O3" s="67"/>
      <c r="P3" s="97"/>
      <c r="Q3" s="97"/>
      <c r="R3" s="97"/>
      <c r="S3" s="97"/>
      <c r="T3" s="97"/>
      <c r="U3" s="97"/>
      <c r="V3" s="97"/>
      <c r="W3" s="153" t="s">
        <v>155</v>
      </c>
      <c r="X3" s="153" t="s">
        <v>155</v>
      </c>
    </row>
    <row r="4" spans="1:24">
      <c r="A4" s="99"/>
      <c r="B4" s="99"/>
      <c r="C4" s="99"/>
      <c r="E4" s="100" t="s">
        <v>91</v>
      </c>
      <c r="F4" s="100" t="s">
        <v>89</v>
      </c>
      <c r="G4" s="100" t="s">
        <v>63</v>
      </c>
      <c r="H4" s="100" t="s">
        <v>64</v>
      </c>
      <c r="I4" s="100" t="s">
        <v>58</v>
      </c>
      <c r="J4" s="100" t="s">
        <v>54</v>
      </c>
      <c r="K4" s="100" t="s">
        <v>55</v>
      </c>
      <c r="L4" s="100" t="s">
        <v>76</v>
      </c>
      <c r="M4" s="101" t="s">
        <v>77</v>
      </c>
      <c r="N4" s="101" t="s">
        <v>83</v>
      </c>
      <c r="O4" s="101" t="s">
        <v>84</v>
      </c>
      <c r="P4" s="101" t="s">
        <v>85</v>
      </c>
      <c r="Q4" s="101" t="s">
        <v>93</v>
      </c>
      <c r="R4" s="101" t="s">
        <v>123</v>
      </c>
      <c r="S4" s="101" t="s">
        <v>126</v>
      </c>
      <c r="T4" s="101" t="s">
        <v>127</v>
      </c>
      <c r="U4" s="102" t="s">
        <v>137</v>
      </c>
      <c r="V4" s="102" t="s">
        <v>142</v>
      </c>
      <c r="W4" s="101" t="s">
        <v>151</v>
      </c>
      <c r="X4" s="101" t="s">
        <v>156</v>
      </c>
    </row>
    <row r="5" spans="1:24">
      <c r="A5" s="99"/>
      <c r="B5" s="99"/>
      <c r="C5" s="99"/>
      <c r="D5" s="103" t="s">
        <v>1</v>
      </c>
      <c r="E5" s="104" t="s">
        <v>59</v>
      </c>
      <c r="F5" s="104" t="s">
        <v>59</v>
      </c>
      <c r="G5" s="104" t="s">
        <v>59</v>
      </c>
      <c r="H5" s="104" t="s">
        <v>59</v>
      </c>
      <c r="I5" s="104" t="s">
        <v>59</v>
      </c>
      <c r="J5" s="104" t="s">
        <v>59</v>
      </c>
      <c r="K5" s="104" t="s">
        <v>59</v>
      </c>
      <c r="L5" s="104" t="s">
        <v>59</v>
      </c>
      <c r="M5" s="105" t="s">
        <v>59</v>
      </c>
      <c r="N5" s="105" t="s">
        <v>59</v>
      </c>
      <c r="O5" s="105" t="s">
        <v>59</v>
      </c>
      <c r="P5" s="105" t="s">
        <v>59</v>
      </c>
      <c r="Q5" s="105" t="s">
        <v>59</v>
      </c>
      <c r="R5" s="105" t="s">
        <v>59</v>
      </c>
      <c r="S5" s="105" t="s">
        <v>59</v>
      </c>
      <c r="T5" s="105" t="s">
        <v>59</v>
      </c>
      <c r="U5" s="106" t="s">
        <v>59</v>
      </c>
      <c r="V5" s="106" t="s">
        <v>59</v>
      </c>
      <c r="W5" s="105" t="s">
        <v>157</v>
      </c>
      <c r="X5" s="105" t="s">
        <v>61</v>
      </c>
    </row>
    <row r="6" spans="1:24" ht="5.25" customHeight="1">
      <c r="A6" s="99"/>
      <c r="B6" s="99"/>
      <c r="C6" s="99"/>
      <c r="D6" s="107"/>
      <c r="E6" s="107"/>
      <c r="F6" s="107"/>
      <c r="G6" s="108"/>
      <c r="H6" s="108"/>
      <c r="I6" s="108"/>
      <c r="J6" s="108"/>
      <c r="K6" s="108"/>
    </row>
    <row r="7" spans="1:24">
      <c r="A7" s="109"/>
      <c r="B7" s="109"/>
      <c r="C7" s="93" t="s">
        <v>2</v>
      </c>
      <c r="D7" s="109"/>
      <c r="E7" s="109"/>
      <c r="F7" s="109"/>
      <c r="G7" s="110"/>
      <c r="H7" s="110"/>
      <c r="I7" s="110"/>
      <c r="J7" s="110"/>
      <c r="K7" s="110"/>
      <c r="L7" s="111"/>
      <c r="M7" s="111"/>
      <c r="N7" s="111"/>
      <c r="O7" s="111"/>
      <c r="P7" s="111"/>
      <c r="Q7" s="111"/>
      <c r="R7" s="111"/>
      <c r="S7" s="111"/>
      <c r="T7" s="111"/>
      <c r="U7" s="112"/>
      <c r="V7" s="112"/>
      <c r="W7" s="111"/>
      <c r="X7" s="111"/>
    </row>
    <row r="8" spans="1:24">
      <c r="A8" s="109"/>
      <c r="B8" s="109"/>
      <c r="C8" s="109"/>
      <c r="D8" s="113" t="s">
        <v>3</v>
      </c>
      <c r="E8" s="114">
        <v>24649082</v>
      </c>
      <c r="F8" s="114">
        <v>26454389</v>
      </c>
      <c r="G8" s="114">
        <v>27825417</v>
      </c>
      <c r="H8" s="114">
        <v>29824407</v>
      </c>
      <c r="I8" s="114">
        <v>31388934</v>
      </c>
      <c r="J8" s="115">
        <v>34362431</v>
      </c>
      <c r="K8" s="114">
        <v>36852448</v>
      </c>
      <c r="L8" s="116">
        <f>46081445-L9</f>
        <v>36904489</v>
      </c>
      <c r="M8" s="114">
        <v>37852061</v>
      </c>
      <c r="N8" s="76">
        <v>39505079</v>
      </c>
      <c r="O8" s="117">
        <v>40555139</v>
      </c>
      <c r="P8" s="76">
        <v>43614832.200000003</v>
      </c>
      <c r="Q8" s="76">
        <v>45417596</v>
      </c>
      <c r="R8" s="76">
        <v>46895432</v>
      </c>
      <c r="S8" s="76">
        <v>47167950</v>
      </c>
      <c r="T8" s="76">
        <v>47184211</v>
      </c>
      <c r="U8" s="76">
        <v>45306490.700000003</v>
      </c>
      <c r="V8" s="76">
        <v>41416746</v>
      </c>
      <c r="W8" s="76">
        <v>42700045</v>
      </c>
      <c r="X8" s="76">
        <v>43901641</v>
      </c>
    </row>
    <row r="9" spans="1:24">
      <c r="A9" s="109"/>
      <c r="B9" s="109"/>
      <c r="C9" s="109"/>
      <c r="D9" s="113" t="s">
        <v>4</v>
      </c>
      <c r="E9" s="114"/>
      <c r="F9" s="114"/>
      <c r="G9" s="114"/>
      <c r="H9" s="114"/>
      <c r="I9" s="114">
        <f>(21420505+1295085)*0.335</f>
        <v>7609722.6500000004</v>
      </c>
      <c r="J9" s="115">
        <v>8280828</v>
      </c>
      <c r="K9" s="114">
        <v>8702614</v>
      </c>
      <c r="L9" s="118">
        <v>9176956</v>
      </c>
      <c r="M9" s="114">
        <v>9193340</v>
      </c>
      <c r="N9" s="119">
        <v>9674074</v>
      </c>
      <c r="O9" s="120">
        <v>10185310</v>
      </c>
      <c r="P9" s="119">
        <v>11480040.199999999</v>
      </c>
      <c r="Q9" s="119">
        <v>11520941</v>
      </c>
      <c r="R9" s="119">
        <v>12455942</v>
      </c>
      <c r="S9" s="119">
        <v>13016668</v>
      </c>
      <c r="T9" s="119">
        <v>13009738</v>
      </c>
      <c r="U9" s="119">
        <v>13023672</v>
      </c>
      <c r="V9" s="119">
        <v>12382960</v>
      </c>
      <c r="W9" s="119">
        <v>12872255</v>
      </c>
      <c r="X9" s="119">
        <v>13264839</v>
      </c>
    </row>
    <row r="10" spans="1:24">
      <c r="A10" s="109"/>
      <c r="B10" s="109"/>
      <c r="C10" s="109"/>
      <c r="D10" s="113" t="s">
        <v>5</v>
      </c>
      <c r="E10" s="114"/>
      <c r="F10" s="114"/>
      <c r="G10" s="114"/>
      <c r="H10" s="114"/>
      <c r="I10" s="114">
        <f>(21420505+1295085)*0.325</f>
        <v>7382566.75</v>
      </c>
      <c r="J10" s="115">
        <v>8060231</v>
      </c>
      <c r="K10" s="114">
        <v>8435544</v>
      </c>
      <c r="L10" s="118">
        <v>8969465</v>
      </c>
      <c r="M10" s="114">
        <v>8984341</v>
      </c>
      <c r="N10" s="119">
        <v>9268010</v>
      </c>
      <c r="O10" s="120">
        <v>9724356</v>
      </c>
      <c r="P10" s="119">
        <v>10911749</v>
      </c>
      <c r="Q10" s="119">
        <v>11031605</v>
      </c>
      <c r="R10" s="119">
        <v>11631139</v>
      </c>
      <c r="S10" s="119">
        <v>12148801</v>
      </c>
      <c r="T10" s="119">
        <v>11975616</v>
      </c>
      <c r="U10" s="119">
        <v>12040612.6</v>
      </c>
      <c r="V10" s="119">
        <v>11324885</v>
      </c>
      <c r="W10" s="119">
        <v>11715208</v>
      </c>
      <c r="X10" s="119">
        <v>12032934</v>
      </c>
    </row>
    <row r="11" spans="1:24">
      <c r="A11" s="109"/>
      <c r="B11" s="109"/>
      <c r="C11" s="109"/>
      <c r="D11" s="113" t="s">
        <v>94</v>
      </c>
      <c r="E11" s="114">
        <v>15576864</v>
      </c>
      <c r="F11" s="114">
        <v>16055218</v>
      </c>
      <c r="G11" s="114">
        <f>14604000+2188685</f>
        <v>16792685</v>
      </c>
      <c r="H11" s="114">
        <f>15634543+2221413</f>
        <v>17855956</v>
      </c>
      <c r="I11" s="114">
        <f>16502549+2232074</f>
        <v>18734623</v>
      </c>
      <c r="J11" s="115">
        <v>19537962</v>
      </c>
      <c r="K11" s="114">
        <v>20801587</v>
      </c>
      <c r="L11" s="118">
        <f>(29631032-L10)+111.5</f>
        <v>20661678.5</v>
      </c>
      <c r="M11" s="114">
        <v>20929802</v>
      </c>
      <c r="N11" s="119">
        <v>21627389</v>
      </c>
      <c r="O11" s="120">
        <v>22233691</v>
      </c>
      <c r="P11" s="119">
        <v>23433328.98</v>
      </c>
      <c r="Q11" s="119">
        <v>26409817</v>
      </c>
      <c r="R11" s="119">
        <v>28193806</v>
      </c>
      <c r="S11" s="119">
        <v>29185482</v>
      </c>
      <c r="T11" s="119">
        <v>29026138</v>
      </c>
      <c r="U11" s="119">
        <v>28071254.690000001</v>
      </c>
      <c r="V11" s="119">
        <v>25533658</v>
      </c>
      <c r="W11" s="119">
        <v>26886000</v>
      </c>
      <c r="X11" s="119">
        <v>27620000</v>
      </c>
    </row>
    <row r="12" spans="1:24">
      <c r="A12" s="109"/>
      <c r="B12" s="109"/>
      <c r="C12" s="109"/>
      <c r="D12" s="113" t="s">
        <v>119</v>
      </c>
      <c r="E12" s="114">
        <v>6202911</v>
      </c>
      <c r="F12" s="114">
        <v>6519052</v>
      </c>
      <c r="G12" s="114">
        <v>6760248</v>
      </c>
      <c r="H12" s="114">
        <v>7162631</v>
      </c>
      <c r="I12" s="114">
        <v>7456178</v>
      </c>
      <c r="J12" s="115">
        <v>7938704</v>
      </c>
      <c r="K12" s="114">
        <v>8166248</v>
      </c>
      <c r="L12" s="118">
        <f>8240943</f>
        <v>8240943</v>
      </c>
      <c r="M12" s="114">
        <v>8430727</v>
      </c>
      <c r="N12" s="119">
        <v>8568132</v>
      </c>
      <c r="O12" s="120">
        <v>8809013</v>
      </c>
      <c r="P12" s="119">
        <v>7003550.0499999998</v>
      </c>
      <c r="Q12" s="119">
        <v>7143958</v>
      </c>
      <c r="R12" s="119">
        <v>7367797</v>
      </c>
      <c r="S12" s="119">
        <v>7392482</v>
      </c>
      <c r="T12" s="119">
        <v>7016409</v>
      </c>
      <c r="U12" s="119">
        <v>6636949.0999999996</v>
      </c>
      <c r="V12" s="119">
        <v>6053770</v>
      </c>
      <c r="W12" s="119">
        <v>6126000</v>
      </c>
      <c r="X12" s="119">
        <v>6296000</v>
      </c>
    </row>
    <row r="13" spans="1:24">
      <c r="A13" s="109"/>
      <c r="B13" s="109"/>
      <c r="C13" s="109"/>
      <c r="D13" s="113" t="s">
        <v>52</v>
      </c>
      <c r="E13" s="114">
        <v>19702930</v>
      </c>
      <c r="F13" s="114">
        <v>19674932</v>
      </c>
      <c r="G13" s="114">
        <v>20304687</v>
      </c>
      <c r="H13" s="114">
        <v>21040492</v>
      </c>
      <c r="I13" s="114">
        <f>(21420505+1295085)*0.34</f>
        <v>7723300.6000000006</v>
      </c>
      <c r="J13" s="115">
        <v>8361264</v>
      </c>
      <c r="K13" s="114">
        <v>9059459</v>
      </c>
      <c r="L13" s="118">
        <f>6579080+(2397984-118910)</f>
        <v>8858154</v>
      </c>
      <c r="M13" s="114">
        <v>8667601</v>
      </c>
      <c r="N13" s="119">
        <v>9236918</v>
      </c>
      <c r="O13" s="120">
        <v>8938319</v>
      </c>
      <c r="P13" s="119">
        <v>9303215.8000000007</v>
      </c>
      <c r="Q13" s="119">
        <v>10048534</v>
      </c>
      <c r="R13" s="119">
        <v>10424599</v>
      </c>
      <c r="S13" s="119">
        <v>10983010</v>
      </c>
      <c r="T13" s="119">
        <v>11893976</v>
      </c>
      <c r="U13" s="119">
        <v>10010738.800000001</v>
      </c>
      <c r="V13" s="119">
        <v>10291407</v>
      </c>
      <c r="W13" s="119">
        <v>10377172</v>
      </c>
      <c r="X13" s="119">
        <v>10754655</v>
      </c>
    </row>
    <row r="14" spans="1:24">
      <c r="C14" s="109"/>
      <c r="D14" s="113" t="s">
        <v>7</v>
      </c>
      <c r="E14" s="114">
        <v>2663701</v>
      </c>
      <c r="F14" s="114">
        <v>2626659</v>
      </c>
      <c r="G14" s="114">
        <v>2790854</v>
      </c>
      <c r="H14" s="114">
        <v>2992696</v>
      </c>
      <c r="I14" s="114">
        <v>3162545</v>
      </c>
      <c r="J14" s="115">
        <v>3397760</v>
      </c>
      <c r="K14" s="114">
        <v>3263531</v>
      </c>
      <c r="L14" s="118">
        <f>1896911+(1325405+1862)+118910</f>
        <v>3343088</v>
      </c>
      <c r="M14" s="114">
        <v>3550803</v>
      </c>
      <c r="N14" s="119">
        <v>3528456</v>
      </c>
      <c r="O14" s="120">
        <v>3313759</v>
      </c>
      <c r="P14" s="119">
        <v>3349298</v>
      </c>
      <c r="Q14" s="119">
        <v>3377713</v>
      </c>
      <c r="R14" s="119">
        <v>2563521</v>
      </c>
      <c r="S14" s="119">
        <v>2601445</v>
      </c>
      <c r="T14" s="119">
        <v>2479322</v>
      </c>
      <c r="U14" s="119">
        <v>2323356.7800000003</v>
      </c>
      <c r="V14" s="119">
        <v>2072133</v>
      </c>
      <c r="W14" s="119">
        <v>2102503</v>
      </c>
      <c r="X14" s="119">
        <v>2102503</v>
      </c>
    </row>
    <row r="15" spans="1:24">
      <c r="C15" s="109"/>
      <c r="D15" s="113" t="s">
        <v>8</v>
      </c>
      <c r="E15" s="114">
        <v>883148</v>
      </c>
      <c r="F15" s="114">
        <v>990014</v>
      </c>
      <c r="G15" s="114">
        <v>1130401</v>
      </c>
      <c r="H15" s="114">
        <v>1322584</v>
      </c>
      <c r="I15" s="114">
        <v>1532557</v>
      </c>
      <c r="J15" s="115">
        <v>1799024</v>
      </c>
      <c r="K15" s="114">
        <v>1879213</v>
      </c>
      <c r="L15" s="118">
        <v>2024478</v>
      </c>
      <c r="M15" s="114">
        <v>1939911</v>
      </c>
      <c r="N15" s="119">
        <v>2061530</v>
      </c>
      <c r="O15" s="120">
        <v>2113652</v>
      </c>
      <c r="P15" s="119">
        <v>2817331.93</v>
      </c>
      <c r="Q15" s="119">
        <v>1028989</v>
      </c>
      <c r="R15" s="119">
        <v>562882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</row>
    <row r="16" spans="1:24">
      <c r="C16" s="109"/>
      <c r="D16" s="113" t="s">
        <v>65</v>
      </c>
      <c r="E16" s="114">
        <v>783804</v>
      </c>
      <c r="F16" s="114">
        <v>855730</v>
      </c>
      <c r="G16" s="114">
        <v>990327</v>
      </c>
      <c r="H16" s="114">
        <v>1130006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</row>
    <row r="17" spans="1:24">
      <c r="C17" s="109"/>
      <c r="D17" s="113" t="s">
        <v>9</v>
      </c>
      <c r="E17" s="114">
        <v>296832</v>
      </c>
      <c r="F17" s="114">
        <v>307671</v>
      </c>
      <c r="G17" s="114">
        <v>334503</v>
      </c>
      <c r="H17" s="114">
        <v>341341</v>
      </c>
      <c r="I17" s="114">
        <v>329828</v>
      </c>
      <c r="J17" s="115">
        <v>343614</v>
      </c>
      <c r="K17" s="114">
        <v>337245</v>
      </c>
      <c r="L17" s="118">
        <f>325680</f>
        <v>325680</v>
      </c>
      <c r="M17" s="114">
        <v>319644</v>
      </c>
      <c r="N17" s="119">
        <v>316136</v>
      </c>
      <c r="O17" s="120">
        <v>326764</v>
      </c>
      <c r="P17" s="119">
        <v>363747.91</v>
      </c>
      <c r="Q17" s="119">
        <v>350824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</row>
    <row r="18" spans="1:24">
      <c r="C18" s="109"/>
      <c r="D18" s="12" t="s">
        <v>10</v>
      </c>
      <c r="E18" s="13">
        <v>41647073</v>
      </c>
      <c r="F18" s="13">
        <v>44275092</v>
      </c>
      <c r="G18" s="13">
        <v>46308994</v>
      </c>
      <c r="H18" s="13">
        <v>48738356</v>
      </c>
      <c r="I18" s="13">
        <v>47979267</v>
      </c>
      <c r="J18" s="14">
        <v>46625017</v>
      </c>
      <c r="K18" s="13">
        <v>46486725</v>
      </c>
      <c r="L18" s="15">
        <f>41772165-1348803</f>
        <v>40423362</v>
      </c>
      <c r="M18" s="13">
        <v>38658317</v>
      </c>
      <c r="N18" s="16">
        <v>43108205</v>
      </c>
      <c r="O18" s="17">
        <v>43503420</v>
      </c>
      <c r="P18" s="16">
        <v>46482651</v>
      </c>
      <c r="Q18" s="16">
        <v>42397229</v>
      </c>
      <c r="R18" s="16">
        <f>37933774+983831</f>
        <v>38917605</v>
      </c>
      <c r="S18" s="16">
        <f>41259809+995558</f>
        <v>42255367</v>
      </c>
      <c r="T18" s="16">
        <v>42845944</v>
      </c>
      <c r="U18" s="16">
        <v>45307524</v>
      </c>
      <c r="V18" s="16">
        <v>49947578</v>
      </c>
      <c r="W18" s="16">
        <v>53775001</v>
      </c>
      <c r="X18" s="16">
        <v>53205821</v>
      </c>
    </row>
    <row r="19" spans="1:24">
      <c r="A19" s="109"/>
      <c r="B19" s="109"/>
      <c r="C19" s="93"/>
      <c r="D19" s="12" t="s">
        <v>128</v>
      </c>
      <c r="E19" s="13"/>
      <c r="F19" s="13"/>
      <c r="G19" s="13"/>
      <c r="H19" s="13"/>
      <c r="I19" s="13"/>
      <c r="J19" s="14"/>
      <c r="K19" s="13"/>
      <c r="L19" s="15"/>
      <c r="M19" s="13"/>
      <c r="N19" s="16"/>
      <c r="O19" s="17">
        <v>469565</v>
      </c>
      <c r="P19" s="16">
        <v>375212</v>
      </c>
      <c r="Q19" s="16">
        <f>395263+74425</f>
        <v>469688</v>
      </c>
      <c r="R19" s="16">
        <f>387513+58903+300000</f>
        <v>746416</v>
      </c>
      <c r="S19" s="16">
        <v>687513</v>
      </c>
      <c r="T19" s="16">
        <v>745143</v>
      </c>
      <c r="U19" s="16">
        <v>745143</v>
      </c>
      <c r="V19" s="16">
        <v>413964</v>
      </c>
      <c r="W19" s="16">
        <v>745286</v>
      </c>
      <c r="X19" s="16">
        <v>751612</v>
      </c>
    </row>
    <row r="20" spans="1:24">
      <c r="A20" s="109"/>
      <c r="B20" s="109"/>
      <c r="C20" s="93"/>
      <c r="D20" s="12" t="s">
        <v>148</v>
      </c>
      <c r="E20" s="13"/>
      <c r="F20" s="13"/>
      <c r="G20" s="13"/>
      <c r="H20" s="13"/>
      <c r="I20" s="13"/>
      <c r="J20" s="14"/>
      <c r="K20" s="13"/>
      <c r="L20" s="15"/>
      <c r="M20" s="13"/>
      <c r="N20" s="16"/>
      <c r="O20" s="17"/>
      <c r="P20" s="16"/>
      <c r="Q20" s="16"/>
      <c r="R20" s="16"/>
      <c r="S20" s="16"/>
      <c r="T20" s="16"/>
      <c r="U20" s="16"/>
      <c r="V20" s="16">
        <v>4654681</v>
      </c>
      <c r="W20" s="16">
        <v>29974366</v>
      </c>
      <c r="X20" s="16">
        <f>6839743+28863714</f>
        <v>35703457</v>
      </c>
    </row>
    <row r="21" spans="1:24">
      <c r="C21" s="109"/>
      <c r="D21" s="12" t="s">
        <v>11</v>
      </c>
      <c r="E21" s="13">
        <v>18571264</v>
      </c>
      <c r="F21" s="13">
        <v>20531478</v>
      </c>
      <c r="G21" s="13">
        <v>22219210</v>
      </c>
      <c r="H21" s="13">
        <v>23734668</v>
      </c>
      <c r="I21" s="13">
        <v>23983777</v>
      </c>
      <c r="J21" s="14">
        <v>25076676</v>
      </c>
      <c r="K21" s="13">
        <v>25989882</v>
      </c>
      <c r="L21" s="15">
        <v>24313730</v>
      </c>
      <c r="M21" s="13">
        <v>26786138</v>
      </c>
      <c r="N21" s="16">
        <v>35085664</v>
      </c>
      <c r="O21" s="17">
        <v>36441839</v>
      </c>
      <c r="P21" s="16">
        <v>40938165</v>
      </c>
      <c r="Q21" s="16">
        <v>39674870</v>
      </c>
      <c r="R21" s="16">
        <v>37656992</v>
      </c>
      <c r="S21" s="16">
        <v>43693977</v>
      </c>
      <c r="T21" s="16">
        <v>43100980</v>
      </c>
      <c r="U21" s="16">
        <v>46860086</v>
      </c>
      <c r="V21" s="16">
        <v>55219261</v>
      </c>
      <c r="W21" s="16">
        <v>59578800</v>
      </c>
      <c r="X21" s="16">
        <v>0</v>
      </c>
    </row>
    <row r="22" spans="1:24">
      <c r="C22" s="109"/>
      <c r="D22" s="113" t="s">
        <v>12</v>
      </c>
      <c r="E22" s="114">
        <v>7492124</v>
      </c>
      <c r="F22" s="114">
        <v>8227228</v>
      </c>
      <c r="G22" s="114">
        <v>9465944</v>
      </c>
      <c r="H22" s="114">
        <v>10247738</v>
      </c>
      <c r="I22" s="114">
        <v>10500730</v>
      </c>
      <c r="J22" s="115">
        <v>11467648</v>
      </c>
      <c r="K22" s="114">
        <v>11909758</v>
      </c>
      <c r="L22" s="118">
        <f>11796251</f>
        <v>11796251</v>
      </c>
      <c r="M22" s="114">
        <v>11748377</v>
      </c>
      <c r="N22" s="119">
        <v>12119074</v>
      </c>
      <c r="O22" s="120">
        <v>13079815</v>
      </c>
      <c r="P22" s="119">
        <v>15856034</v>
      </c>
      <c r="Q22" s="119">
        <v>15951531</v>
      </c>
      <c r="R22" s="119">
        <v>16829954</v>
      </c>
      <c r="S22" s="119">
        <v>17417233</v>
      </c>
      <c r="T22" s="119">
        <v>12766848</v>
      </c>
      <c r="U22" s="119">
        <v>7278884.3300000001</v>
      </c>
      <c r="V22" s="119">
        <v>14020241</v>
      </c>
      <c r="W22" s="119">
        <v>16291607</v>
      </c>
      <c r="X22" s="119">
        <v>16816404</v>
      </c>
    </row>
    <row r="23" spans="1:24">
      <c r="C23" s="109"/>
      <c r="D23" s="113" t="s">
        <v>13</v>
      </c>
      <c r="E23" s="114">
        <v>5723043</v>
      </c>
      <c r="F23" s="114">
        <v>5864469</v>
      </c>
      <c r="G23" s="114">
        <v>6929648</v>
      </c>
      <c r="H23" s="114">
        <v>7384399</v>
      </c>
      <c r="I23" s="114">
        <v>7648607</v>
      </c>
      <c r="J23" s="115">
        <v>8350915</v>
      </c>
      <c r="K23" s="114">
        <v>8659260</v>
      </c>
      <c r="L23" s="118">
        <f>8333098+213301</f>
        <v>8546399</v>
      </c>
      <c r="M23" s="114">
        <v>8708644</v>
      </c>
      <c r="N23" s="119">
        <v>9068912</v>
      </c>
      <c r="O23" s="120">
        <v>9710990</v>
      </c>
      <c r="P23" s="119">
        <v>11049206.940000001</v>
      </c>
      <c r="Q23" s="119">
        <v>10954017</v>
      </c>
      <c r="R23" s="119">
        <v>11714491</v>
      </c>
      <c r="S23" s="119">
        <v>12045842</v>
      </c>
      <c r="T23" s="119">
        <v>9067031</v>
      </c>
      <c r="U23" s="119">
        <v>4857578.1399999997</v>
      </c>
      <c r="V23" s="119">
        <v>7828493</v>
      </c>
      <c r="W23" s="119">
        <v>9139395</v>
      </c>
      <c r="X23" s="119">
        <v>9598212</v>
      </c>
    </row>
    <row r="24" spans="1:24">
      <c r="C24" s="109"/>
      <c r="D24" s="113" t="s">
        <v>14</v>
      </c>
      <c r="E24" s="114">
        <v>2365704</v>
      </c>
      <c r="F24" s="114">
        <v>8407097</v>
      </c>
      <c r="G24" s="114">
        <v>9284629</v>
      </c>
      <c r="H24" s="114">
        <v>10183503</v>
      </c>
      <c r="I24" s="114">
        <v>7955492</v>
      </c>
      <c r="J24" s="115">
        <v>6703423</v>
      </c>
      <c r="K24" s="114">
        <v>7670983</v>
      </c>
      <c r="L24" s="118">
        <f>(6683919+463071)-213301</f>
        <v>6933689</v>
      </c>
      <c r="M24" s="114">
        <v>7706363</v>
      </c>
      <c r="N24" s="119">
        <v>7457990</v>
      </c>
      <c r="O24" s="120">
        <v>7599718</v>
      </c>
      <c r="P24" s="119">
        <v>8613803.1500000004</v>
      </c>
      <c r="Q24" s="119">
        <v>8545857</v>
      </c>
      <c r="R24" s="119">
        <v>9445317</v>
      </c>
      <c r="S24" s="119">
        <v>9565789</v>
      </c>
      <c r="T24" s="119">
        <v>7133133</v>
      </c>
      <c r="U24" s="119">
        <v>3058160.05</v>
      </c>
      <c r="V24" s="119">
        <v>5308933</v>
      </c>
      <c r="W24" s="119">
        <v>8971087</v>
      </c>
      <c r="X24" s="119">
        <v>7582001</v>
      </c>
    </row>
    <row r="25" spans="1:24">
      <c r="C25" s="109"/>
      <c r="D25" s="113" t="s">
        <v>92</v>
      </c>
      <c r="E25" s="114">
        <v>563968</v>
      </c>
      <c r="F25" s="114"/>
      <c r="G25" s="114"/>
      <c r="H25" s="114"/>
      <c r="I25" s="114"/>
      <c r="J25" s="115"/>
      <c r="K25" s="114"/>
      <c r="L25" s="118"/>
      <c r="M25" s="114"/>
      <c r="N25" s="76"/>
      <c r="O25" s="117"/>
      <c r="P25" s="76"/>
      <c r="Q25" s="76"/>
      <c r="R25" s="76"/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</row>
    <row r="26" spans="1:24">
      <c r="C26" s="109"/>
      <c r="D26" s="113" t="s">
        <v>15</v>
      </c>
      <c r="E26" s="114">
        <v>-1634018</v>
      </c>
      <c r="F26" s="114">
        <v>-1708712</v>
      </c>
      <c r="G26" s="114">
        <v>-2035460</v>
      </c>
      <c r="H26" s="114">
        <v>-2100882</v>
      </c>
      <c r="I26" s="114">
        <v>-2144416</v>
      </c>
      <c r="J26" s="115">
        <v>-1830401</v>
      </c>
      <c r="K26" s="114">
        <v>-1817806</v>
      </c>
      <c r="L26" s="118">
        <v>-2160389</v>
      </c>
      <c r="M26" s="114">
        <v>-2209370</v>
      </c>
      <c r="N26" s="76">
        <v>-2160362</v>
      </c>
      <c r="O26" s="117">
        <v>-2259431</v>
      </c>
      <c r="P26" s="76">
        <v>-3424366.08</v>
      </c>
      <c r="Q26" s="76">
        <v>-3666087</v>
      </c>
      <c r="R26" s="76">
        <v>-3736113</v>
      </c>
      <c r="S26" s="76">
        <v>-3770304</v>
      </c>
      <c r="T26" s="76">
        <v>-3038059</v>
      </c>
      <c r="U26" s="76">
        <v>-2443912.7799999998</v>
      </c>
      <c r="V26" s="76">
        <v>-1699337</v>
      </c>
      <c r="W26" s="76">
        <v>-3353129</v>
      </c>
      <c r="X26" s="76">
        <v>-3431183</v>
      </c>
    </row>
    <row r="27" spans="1:24" ht="14.25" thickBot="1">
      <c r="C27" s="109"/>
      <c r="D27" s="121" t="s">
        <v>16</v>
      </c>
      <c r="E27" s="122">
        <f t="shared" ref="E27:P27" si="0">SUM(E8:E26)</f>
        <v>145488430</v>
      </c>
      <c r="F27" s="122">
        <f t="shared" si="0"/>
        <v>159080317</v>
      </c>
      <c r="G27" s="122">
        <f t="shared" si="0"/>
        <v>169102087</v>
      </c>
      <c r="H27" s="122">
        <f t="shared" si="0"/>
        <v>179857895</v>
      </c>
      <c r="I27" s="122">
        <f t="shared" si="0"/>
        <v>181243712</v>
      </c>
      <c r="J27" s="122">
        <f t="shared" si="0"/>
        <v>188475096</v>
      </c>
      <c r="K27" s="122">
        <f t="shared" si="0"/>
        <v>196396691</v>
      </c>
      <c r="L27" s="123">
        <f t="shared" si="0"/>
        <v>188357973.5</v>
      </c>
      <c r="M27" s="122">
        <f t="shared" si="0"/>
        <v>191266699</v>
      </c>
      <c r="N27" s="122">
        <f t="shared" si="0"/>
        <v>208465207</v>
      </c>
      <c r="O27" s="122">
        <f t="shared" si="0"/>
        <v>214745919</v>
      </c>
      <c r="P27" s="122">
        <f t="shared" si="0"/>
        <v>232167800.07999998</v>
      </c>
      <c r="Q27" s="122">
        <f t="shared" ref="Q27:V27" si="1">SUM(Q8:Q26)</f>
        <v>230657082</v>
      </c>
      <c r="R27" s="122">
        <f t="shared" si="1"/>
        <v>231669780</v>
      </c>
      <c r="S27" s="122">
        <f t="shared" si="1"/>
        <v>244391255</v>
      </c>
      <c r="T27" s="122">
        <f t="shared" si="1"/>
        <v>235206430</v>
      </c>
      <c r="U27" s="122">
        <f t="shared" si="1"/>
        <v>223076537.41</v>
      </c>
      <c r="V27" s="122">
        <f t="shared" si="1"/>
        <v>244769373</v>
      </c>
      <c r="W27" s="122">
        <f>SUM(W8:W26)</f>
        <v>287901596</v>
      </c>
      <c r="X27" s="122">
        <f>SUM(X8:X26)</f>
        <v>236198896</v>
      </c>
    </row>
    <row r="28" spans="1:24" ht="10.5" customHeight="1" thickTop="1" thickBot="1">
      <c r="C28" s="109"/>
      <c r="D28" s="124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ht="15" customHeight="1" thickBot="1">
      <c r="C29" s="109"/>
      <c r="D29" s="152" t="s">
        <v>78</v>
      </c>
      <c r="E29" s="151">
        <f t="shared" ref="E29:J29" si="2">(E18+E21)/E27</f>
        <v>0.4139046452009964</v>
      </c>
      <c r="F29" s="151">
        <f t="shared" si="2"/>
        <v>0.40738270593212356</v>
      </c>
      <c r="G29" s="151">
        <f t="shared" si="2"/>
        <v>0.40524753547246284</v>
      </c>
      <c r="H29" s="151">
        <f t="shared" si="2"/>
        <v>0.4029460258055394</v>
      </c>
      <c r="I29" s="151">
        <f t="shared" si="2"/>
        <v>0.39705125880449854</v>
      </c>
      <c r="J29" s="151">
        <f t="shared" si="2"/>
        <v>0.38043059545649471</v>
      </c>
      <c r="K29" s="151">
        <f>(K18+K21)/K27</f>
        <v>0.36903171143550478</v>
      </c>
      <c r="L29" s="151">
        <f t="shared" ref="L29:P29" si="3">(L18+L21)/L27</f>
        <v>0.34369180553962586</v>
      </c>
      <c r="M29" s="151">
        <f t="shared" si="3"/>
        <v>0.34216335275384241</v>
      </c>
      <c r="N29" s="151">
        <f t="shared" si="3"/>
        <v>0.37509313964320196</v>
      </c>
      <c r="O29" s="151">
        <f t="shared" si="3"/>
        <v>0.37227836213269322</v>
      </c>
      <c r="P29" s="151">
        <f t="shared" si="3"/>
        <v>0.3765415185476913</v>
      </c>
      <c r="Q29" s="151">
        <f>(Q18+Q21)/Q27</f>
        <v>0.35581868238496139</v>
      </c>
      <c r="R29" s="151">
        <f>(R18+R21)/R27</f>
        <v>0.33053338678873007</v>
      </c>
      <c r="S29" s="151">
        <f>(S18+S21)/S27</f>
        <v>0.3516874775245129</v>
      </c>
      <c r="T29" s="151">
        <f>(T18+T21)/T27</f>
        <v>0.36541060548387216</v>
      </c>
      <c r="U29" s="151">
        <f>(U18+U21)/U27</f>
        <v>0.41316586257837595</v>
      </c>
      <c r="V29" s="151">
        <f>(V18+V20+V21)/V27</f>
        <v>0.44867345392922175</v>
      </c>
      <c r="W29" s="151">
        <f t="shared" ref="W29:X29" si="4">(W18+W20+W21)/W27</f>
        <v>0.49783734786937411</v>
      </c>
      <c r="X29" s="151">
        <f t="shared" si="4"/>
        <v>0.37641699222844799</v>
      </c>
    </row>
    <row r="30" spans="1:24" ht="10.5" customHeight="1" thickBot="1">
      <c r="C30" s="109"/>
      <c r="D30" s="124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24" ht="15" customHeight="1" thickBot="1">
      <c r="C31" s="109"/>
      <c r="D31" s="152" t="s">
        <v>82</v>
      </c>
      <c r="E31" s="151">
        <f t="shared" ref="E31:J31" si="5">(SUM(E8:E12)+E15)/E27</f>
        <v>0.32519427833539755</v>
      </c>
      <c r="F31" s="151">
        <f t="shared" si="5"/>
        <v>0.31442402142057585</v>
      </c>
      <c r="G31" s="151">
        <f t="shared" si="5"/>
        <v>0.31051509730923665</v>
      </c>
      <c r="H31" s="151">
        <f t="shared" si="5"/>
        <v>0.31227752331917374</v>
      </c>
      <c r="I31" s="151">
        <f t="shared" si="5"/>
        <v>0.40886704748134933</v>
      </c>
      <c r="J31" s="151">
        <f t="shared" si="5"/>
        <v>0.42434879566263756</v>
      </c>
      <c r="K31" s="151">
        <f>(SUM(K8:K12)+K15)/K27</f>
        <v>0.43197089303301961</v>
      </c>
      <c r="L31" s="151">
        <f t="shared" ref="L31:S31" si="6">(SUM(L8:L12)+L15)/L27</f>
        <v>0.45646068442119864</v>
      </c>
      <c r="M31" s="151">
        <f t="shared" si="6"/>
        <v>0.45658853557147444</v>
      </c>
      <c r="N31" s="151">
        <f t="shared" si="6"/>
        <v>0.43510480864080114</v>
      </c>
      <c r="O31" s="151">
        <f t="shared" si="6"/>
        <v>0.43596246874428379</v>
      </c>
      <c r="P31" s="151">
        <f t="shared" si="6"/>
        <v>0.42753918642377148</v>
      </c>
      <c r="Q31" s="151">
        <f>(SUM(Q8:Q12)+Q15)/Q27</f>
        <v>0.44461199764939363</v>
      </c>
      <c r="R31" s="151">
        <f>(SUM(R8:R12)+R15)/R27</f>
        <v>0.46232615233631247</v>
      </c>
      <c r="S31" s="151">
        <f t="shared" si="6"/>
        <v>0.44564353581309607</v>
      </c>
      <c r="T31" s="151">
        <f t="shared" ref="T31:U31" si="7">(SUM(T8:T12)+T15)/T27</f>
        <v>0.46007293252994824</v>
      </c>
      <c r="U31" s="151">
        <f t="shared" si="7"/>
        <v>0.47104451373508521</v>
      </c>
      <c r="V31" s="151">
        <f>(SUM(V8:V12)+V15)/V27</f>
        <v>0.39511487002910284</v>
      </c>
      <c r="W31" s="151">
        <f>(SUM(W8:W12)+W15)/W27</f>
        <v>0.34838121564286151</v>
      </c>
      <c r="X31" s="151">
        <f>(SUM(X8:X12)+X15)/X27</f>
        <v>0.43656179493743275</v>
      </c>
    </row>
    <row r="32" spans="1:24" ht="10.5" customHeight="1">
      <c r="C32" s="109"/>
      <c r="D32" s="12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3:24" ht="14.25" customHeight="1">
      <c r="C33" s="109"/>
      <c r="D33" s="124" t="s">
        <v>80</v>
      </c>
      <c r="E33" s="114">
        <v>7050</v>
      </c>
      <c r="F33" s="114">
        <v>7206</v>
      </c>
      <c r="G33" s="114">
        <v>7270</v>
      </c>
      <c r="H33" s="114">
        <v>7526</v>
      </c>
      <c r="I33" s="114">
        <v>7609</v>
      </c>
      <c r="J33" s="114">
        <v>7849</v>
      </c>
      <c r="K33" s="114">
        <v>7870</v>
      </c>
      <c r="L33" s="114">
        <v>7749</v>
      </c>
      <c r="M33" s="114">
        <v>7646</v>
      </c>
      <c r="N33" s="114">
        <v>7539</v>
      </c>
      <c r="O33" s="114">
        <v>7612</v>
      </c>
      <c r="P33" s="114">
        <v>7562</v>
      </c>
      <c r="Q33" s="114">
        <v>7448</v>
      </c>
      <c r="R33" s="114">
        <v>7585</v>
      </c>
      <c r="S33" s="114">
        <v>7378</v>
      </c>
      <c r="T33" s="114">
        <v>7458.1</v>
      </c>
      <c r="U33" s="114">
        <v>6531</v>
      </c>
      <c r="V33" s="114">
        <v>5932</v>
      </c>
      <c r="W33" s="114"/>
      <c r="X33" s="114"/>
    </row>
    <row r="34" spans="3:24" ht="14.25" customHeight="1">
      <c r="C34" s="109"/>
      <c r="D34" s="124" t="s">
        <v>81</v>
      </c>
      <c r="E34" s="136">
        <v>1660</v>
      </c>
      <c r="F34" s="136">
        <v>1583</v>
      </c>
      <c r="G34" s="136">
        <v>1530</v>
      </c>
      <c r="H34" s="136">
        <v>1486</v>
      </c>
      <c r="I34" s="136">
        <v>1545</v>
      </c>
      <c r="J34" s="136">
        <v>1606</v>
      </c>
      <c r="K34" s="136">
        <v>1599</v>
      </c>
      <c r="L34" s="136">
        <v>1615</v>
      </c>
      <c r="M34" s="136">
        <v>1530</v>
      </c>
      <c r="N34" s="136">
        <v>1504</v>
      </c>
      <c r="O34" s="136">
        <v>1557</v>
      </c>
      <c r="P34" s="136">
        <v>1610</v>
      </c>
      <c r="Q34" s="136">
        <v>1545</v>
      </c>
      <c r="R34" s="136">
        <v>1545</v>
      </c>
      <c r="S34" s="136">
        <v>1557</v>
      </c>
      <c r="T34" s="136">
        <v>1460</v>
      </c>
      <c r="U34" s="136">
        <v>1414</v>
      </c>
      <c r="V34" s="136">
        <v>1318</v>
      </c>
      <c r="W34" s="136"/>
      <c r="X34" s="136"/>
    </row>
    <row r="35" spans="3:24" ht="14.25" customHeight="1" thickBot="1">
      <c r="C35" s="109"/>
      <c r="D35" s="124" t="s">
        <v>79</v>
      </c>
      <c r="E35" s="122">
        <f t="shared" ref="E35:P35" si="8">SUM(E33:E34)</f>
        <v>8710</v>
      </c>
      <c r="F35" s="122">
        <f t="shared" si="8"/>
        <v>8789</v>
      </c>
      <c r="G35" s="122">
        <f t="shared" si="8"/>
        <v>8800</v>
      </c>
      <c r="H35" s="122">
        <f t="shared" si="8"/>
        <v>9012</v>
      </c>
      <c r="I35" s="122">
        <f t="shared" si="8"/>
        <v>9154</v>
      </c>
      <c r="J35" s="122">
        <f t="shared" si="8"/>
        <v>9455</v>
      </c>
      <c r="K35" s="122">
        <f t="shared" si="8"/>
        <v>9469</v>
      </c>
      <c r="L35" s="122">
        <f t="shared" si="8"/>
        <v>9364</v>
      </c>
      <c r="M35" s="122">
        <f t="shared" si="8"/>
        <v>9176</v>
      </c>
      <c r="N35" s="122">
        <f t="shared" si="8"/>
        <v>9043</v>
      </c>
      <c r="O35" s="122">
        <f t="shared" si="8"/>
        <v>9169</v>
      </c>
      <c r="P35" s="122">
        <f t="shared" si="8"/>
        <v>9172</v>
      </c>
      <c r="Q35" s="122">
        <v>8993</v>
      </c>
      <c r="R35" s="122">
        <v>9130</v>
      </c>
      <c r="S35" s="122">
        <f>SUM(S33:S34)</f>
        <v>8935</v>
      </c>
      <c r="T35" s="122">
        <f>SUM(T33:T34)</f>
        <v>8918.1</v>
      </c>
      <c r="U35" s="122">
        <f>SUM(U33:U34)</f>
        <v>7945</v>
      </c>
      <c r="V35" s="122">
        <f>SUM(V33:V34)</f>
        <v>7250</v>
      </c>
      <c r="W35" s="122"/>
      <c r="X35" s="122"/>
    </row>
    <row r="36" spans="3:24" ht="10.5" customHeight="1" thickTop="1">
      <c r="C36" s="109"/>
      <c r="D36" s="124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92"/>
      <c r="R36" s="92"/>
      <c r="S36" s="92"/>
      <c r="T36" s="92"/>
      <c r="W36" s="92"/>
      <c r="X36" s="92"/>
    </row>
    <row r="37" spans="3:24" ht="10.5" customHeight="1">
      <c r="C37" s="109"/>
      <c r="D37" s="124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</row>
    <row r="38" spans="3:24" ht="10.5" customHeight="1">
      <c r="C38" s="109"/>
      <c r="D38" s="124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</row>
    <row r="39" spans="3:24">
      <c r="C39" s="93" t="s">
        <v>17</v>
      </c>
      <c r="D39" s="12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  <row r="40" spans="3:24">
      <c r="C40" s="93" t="s">
        <v>110</v>
      </c>
      <c r="D40" s="124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3:24" ht="14.25" thickBot="1">
      <c r="C41" s="109"/>
      <c r="D41" s="121" t="s">
        <v>18</v>
      </c>
      <c r="E41" s="122">
        <v>53764013</v>
      </c>
      <c r="F41" s="122">
        <v>58234407</v>
      </c>
      <c r="G41" s="122">
        <v>61704830</v>
      </c>
      <c r="H41" s="122">
        <v>65929102</v>
      </c>
      <c r="I41" s="122">
        <v>69463324</v>
      </c>
      <c r="J41" s="122">
        <v>65385027</v>
      </c>
      <c r="K41" s="122">
        <v>69063969</v>
      </c>
      <c r="L41" s="122">
        <f>70283453+28485</f>
        <v>70311938</v>
      </c>
      <c r="M41" s="122">
        <v>70164767</v>
      </c>
      <c r="N41" s="122">
        <v>73632057</v>
      </c>
      <c r="O41" s="122">
        <v>77522204</v>
      </c>
      <c r="P41" s="122">
        <v>81100112</v>
      </c>
      <c r="Q41" s="122">
        <v>79854932</v>
      </c>
      <c r="R41" s="122">
        <v>77299947</v>
      </c>
      <c r="S41" s="122">
        <v>77558457</v>
      </c>
      <c r="T41" s="122">
        <v>81018782</v>
      </c>
      <c r="U41" s="122">
        <v>81826965.439999998</v>
      </c>
      <c r="V41" s="122">
        <v>84957209</v>
      </c>
      <c r="W41" s="122">
        <v>82791726</v>
      </c>
      <c r="X41" s="122">
        <v>88474899</v>
      </c>
    </row>
    <row r="42" spans="3:24" ht="14.25" thickTop="1">
      <c r="C42" s="109"/>
      <c r="D42" s="125" t="s">
        <v>111</v>
      </c>
      <c r="E42" s="82"/>
      <c r="F42" s="82"/>
      <c r="G42" s="82"/>
      <c r="H42" s="82"/>
      <c r="I42" s="82"/>
      <c r="J42" s="82"/>
      <c r="K42" s="82"/>
      <c r="L42" s="126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43" spans="3:24">
      <c r="C43" s="109"/>
      <c r="D43" s="113" t="s">
        <v>19</v>
      </c>
      <c r="E43" s="115">
        <v>6819173</v>
      </c>
      <c r="F43" s="115">
        <v>7264456</v>
      </c>
      <c r="G43" s="115">
        <v>7993800</v>
      </c>
      <c r="H43" s="115">
        <v>8242748</v>
      </c>
      <c r="I43" s="115">
        <v>8820802</v>
      </c>
      <c r="J43" s="115">
        <v>8776856</v>
      </c>
      <c r="K43" s="114">
        <v>9894641</v>
      </c>
      <c r="L43" s="115">
        <v>9960087</v>
      </c>
      <c r="M43" s="114">
        <v>9984784</v>
      </c>
      <c r="N43" s="114">
        <v>9826807</v>
      </c>
      <c r="O43" s="115">
        <v>10312571</v>
      </c>
      <c r="P43" s="114">
        <v>10914027.920000002</v>
      </c>
      <c r="Q43" s="114">
        <v>10433589</v>
      </c>
      <c r="R43" s="114">
        <v>11085982</v>
      </c>
      <c r="S43" s="114">
        <v>11563642</v>
      </c>
      <c r="T43" s="114">
        <v>12121250</v>
      </c>
      <c r="U43" s="114">
        <v>10540674.890000001</v>
      </c>
      <c r="V43" s="114">
        <v>11007324</v>
      </c>
      <c r="W43" s="114">
        <v>11452152</v>
      </c>
      <c r="X43" s="114">
        <v>11875824</v>
      </c>
    </row>
    <row r="44" spans="3:24">
      <c r="C44" s="109"/>
      <c r="D44" s="113" t="s">
        <v>129</v>
      </c>
      <c r="E44" s="115"/>
      <c r="F44" s="115"/>
      <c r="G44" s="115"/>
      <c r="H44" s="115"/>
      <c r="I44" s="115"/>
      <c r="J44" s="115"/>
      <c r="K44" s="114"/>
      <c r="L44" s="127"/>
      <c r="M44" s="114"/>
      <c r="N44" s="114"/>
      <c r="O44" s="115"/>
      <c r="P44" s="114"/>
      <c r="Q44" s="114"/>
      <c r="R44" s="114">
        <v>1513437</v>
      </c>
      <c r="S44" s="114">
        <v>1358140</v>
      </c>
      <c r="T44" s="114">
        <v>1161631</v>
      </c>
      <c r="U44" s="114">
        <v>937355.08000000007</v>
      </c>
      <c r="V44" s="114">
        <v>1084778</v>
      </c>
      <c r="W44" s="114">
        <v>1035000</v>
      </c>
      <c r="X44" s="114">
        <v>1035000</v>
      </c>
    </row>
    <row r="45" spans="3:24">
      <c r="C45" s="109"/>
      <c r="D45" s="113" t="s">
        <v>20</v>
      </c>
      <c r="E45" s="115">
        <v>499497</v>
      </c>
      <c r="F45" s="115">
        <v>473164</v>
      </c>
      <c r="G45" s="115">
        <v>393909</v>
      </c>
      <c r="H45" s="115">
        <v>390843</v>
      </c>
      <c r="I45" s="115">
        <v>372242</v>
      </c>
      <c r="J45" s="115">
        <v>343129</v>
      </c>
      <c r="K45" s="114">
        <v>376067</v>
      </c>
      <c r="L45" s="127">
        <v>406082</v>
      </c>
      <c r="M45" s="114">
        <v>406565</v>
      </c>
      <c r="N45" s="114">
        <v>364783</v>
      </c>
      <c r="O45" s="115">
        <v>381577</v>
      </c>
      <c r="P45" s="114">
        <v>473482.7</v>
      </c>
      <c r="Q45" s="114">
        <v>433918</v>
      </c>
      <c r="R45" s="114">
        <v>470994</v>
      </c>
      <c r="S45" s="114">
        <v>359273</v>
      </c>
      <c r="T45" s="114">
        <v>280998</v>
      </c>
      <c r="U45" s="114">
        <v>351773</v>
      </c>
      <c r="V45" s="114">
        <v>604098</v>
      </c>
      <c r="W45" s="114">
        <v>175000</v>
      </c>
      <c r="X45" s="114">
        <v>175000</v>
      </c>
    </row>
    <row r="46" spans="3:24">
      <c r="C46" s="109"/>
      <c r="D46" s="113" t="s">
        <v>21</v>
      </c>
      <c r="E46" s="115">
        <v>883342</v>
      </c>
      <c r="F46" s="115">
        <v>1077961</v>
      </c>
      <c r="G46" s="115">
        <v>1027305</v>
      </c>
      <c r="H46" s="115">
        <v>1150486</v>
      </c>
      <c r="I46" s="115">
        <v>1305935</v>
      </c>
      <c r="J46" s="115">
        <v>1198473</v>
      </c>
      <c r="K46" s="114">
        <v>1126125</v>
      </c>
      <c r="L46" s="127">
        <v>1156474</v>
      </c>
      <c r="M46" s="114">
        <v>1166971</v>
      </c>
      <c r="N46" s="114">
        <v>1096292</v>
      </c>
      <c r="O46" s="115">
        <v>1108068</v>
      </c>
      <c r="P46" s="114">
        <v>1033817.03</v>
      </c>
      <c r="Q46" s="114">
        <v>893913</v>
      </c>
      <c r="R46" s="114">
        <v>839918</v>
      </c>
      <c r="S46" s="114">
        <v>954593</v>
      </c>
      <c r="T46" s="114">
        <v>970984</v>
      </c>
      <c r="U46" s="114">
        <v>814441.28999999992</v>
      </c>
      <c r="V46" s="114">
        <v>618788</v>
      </c>
      <c r="W46" s="114">
        <v>1050000</v>
      </c>
      <c r="X46" s="114">
        <v>1040000</v>
      </c>
    </row>
    <row r="47" spans="3:24">
      <c r="C47" s="109"/>
      <c r="D47" s="113" t="s">
        <v>22</v>
      </c>
      <c r="E47" s="115">
        <v>236124</v>
      </c>
      <c r="F47" s="115">
        <v>223555</v>
      </c>
      <c r="G47" s="115">
        <v>259441</v>
      </c>
      <c r="H47" s="115">
        <v>283764</v>
      </c>
      <c r="I47" s="115">
        <v>371156</v>
      </c>
      <c r="J47" s="115">
        <v>360084</v>
      </c>
      <c r="K47" s="114">
        <v>337674</v>
      </c>
      <c r="L47" s="127">
        <v>293169</v>
      </c>
      <c r="M47" s="114">
        <v>308873</v>
      </c>
      <c r="N47" s="114">
        <v>301772</v>
      </c>
      <c r="O47" s="115">
        <v>283855</v>
      </c>
      <c r="P47" s="114">
        <v>295006.28999999998</v>
      </c>
      <c r="Q47" s="114">
        <v>250262</v>
      </c>
      <c r="R47" s="114">
        <v>557176</v>
      </c>
      <c r="S47" s="114">
        <v>573714</v>
      </c>
      <c r="T47" s="114">
        <v>608841</v>
      </c>
      <c r="U47" s="114">
        <v>498992.11</v>
      </c>
      <c r="V47" s="114">
        <v>524952</v>
      </c>
      <c r="W47" s="114">
        <v>612000</v>
      </c>
      <c r="X47" s="114">
        <v>615000</v>
      </c>
    </row>
    <row r="48" spans="3:24">
      <c r="C48" s="109"/>
      <c r="D48" s="113" t="s">
        <v>130</v>
      </c>
      <c r="E48" s="115"/>
      <c r="F48" s="115"/>
      <c r="G48" s="115"/>
      <c r="H48" s="115"/>
      <c r="I48" s="115"/>
      <c r="J48" s="115"/>
      <c r="K48" s="114"/>
      <c r="L48" s="115"/>
      <c r="M48" s="114"/>
      <c r="N48" s="114"/>
      <c r="O48" s="115"/>
      <c r="P48" s="114"/>
      <c r="Q48" s="114"/>
      <c r="R48" s="114">
        <v>2560099</v>
      </c>
      <c r="S48" s="114">
        <v>2555826</v>
      </c>
      <c r="T48" s="114">
        <v>2460565</v>
      </c>
      <c r="U48" s="114">
        <v>1085461.2200000002</v>
      </c>
      <c r="V48" s="114">
        <v>1851752</v>
      </c>
      <c r="W48" s="114">
        <v>3032000</v>
      </c>
      <c r="X48" s="114">
        <v>3032000</v>
      </c>
    </row>
    <row r="49" spans="1:24">
      <c r="C49" s="109"/>
      <c r="D49" s="113" t="s">
        <v>23</v>
      </c>
      <c r="E49" s="115">
        <v>2959783</v>
      </c>
      <c r="F49" s="115">
        <v>3713428</v>
      </c>
      <c r="G49" s="115">
        <v>3630776</v>
      </c>
      <c r="H49" s="115">
        <v>3680126</v>
      </c>
      <c r="I49" s="115">
        <v>4062234</v>
      </c>
      <c r="J49" s="115">
        <v>4448057</v>
      </c>
      <c r="K49" s="114">
        <v>4187731</v>
      </c>
      <c r="L49" s="115">
        <f>5617894-L46-L47</f>
        <v>4168251</v>
      </c>
      <c r="M49" s="114">
        <v>4264769</v>
      </c>
      <c r="N49" s="114">
        <v>4080145</v>
      </c>
      <c r="O49" s="115">
        <v>4420914</v>
      </c>
      <c r="P49" s="114">
        <v>4898037.72</v>
      </c>
      <c r="Q49" s="114">
        <v>4509258</v>
      </c>
      <c r="R49" s="114">
        <v>690735</v>
      </c>
      <c r="S49" s="114">
        <v>682636</v>
      </c>
      <c r="T49" s="114">
        <v>737130</v>
      </c>
      <c r="U49" s="114">
        <v>610939.63</v>
      </c>
      <c r="V49" s="114">
        <v>781436</v>
      </c>
      <c r="W49" s="114">
        <v>640000</v>
      </c>
      <c r="X49" s="114">
        <v>755019</v>
      </c>
    </row>
    <row r="50" spans="1:24" ht="14.25" thickBot="1">
      <c r="C50" s="109"/>
      <c r="D50" s="121" t="s">
        <v>24</v>
      </c>
      <c r="E50" s="123">
        <f t="shared" ref="E50:K50" si="9">SUM(E43:E49)</f>
        <v>11397919</v>
      </c>
      <c r="F50" s="123">
        <f t="shared" si="9"/>
        <v>12752564</v>
      </c>
      <c r="G50" s="123">
        <f t="shared" si="9"/>
        <v>13305231</v>
      </c>
      <c r="H50" s="123">
        <f t="shared" si="9"/>
        <v>13747967</v>
      </c>
      <c r="I50" s="123">
        <f t="shared" si="9"/>
        <v>14932369</v>
      </c>
      <c r="J50" s="123">
        <f t="shared" si="9"/>
        <v>15126599</v>
      </c>
      <c r="K50" s="123">
        <f t="shared" si="9"/>
        <v>15922238</v>
      </c>
      <c r="L50" s="122">
        <f t="shared" ref="L50:O50" si="10">SUM(L43:L49)</f>
        <v>15984063</v>
      </c>
      <c r="M50" s="122">
        <f t="shared" si="10"/>
        <v>16131962</v>
      </c>
      <c r="N50" s="122">
        <f t="shared" si="10"/>
        <v>15669799</v>
      </c>
      <c r="O50" s="122">
        <f t="shared" si="10"/>
        <v>16506985</v>
      </c>
      <c r="P50" s="122">
        <f t="shared" ref="P50:U50" si="11">SUM(P43:P49)</f>
        <v>17614371.66</v>
      </c>
      <c r="Q50" s="122">
        <f t="shared" si="11"/>
        <v>16520940</v>
      </c>
      <c r="R50" s="122">
        <f t="shared" si="11"/>
        <v>17718341</v>
      </c>
      <c r="S50" s="122">
        <f t="shared" si="11"/>
        <v>18047824</v>
      </c>
      <c r="T50" s="122">
        <f t="shared" si="11"/>
        <v>18341399</v>
      </c>
      <c r="U50" s="122">
        <f t="shared" si="11"/>
        <v>14839637.220000001</v>
      </c>
      <c r="V50" s="122">
        <f t="shared" ref="V50" si="12">SUM(V43:V49)</f>
        <v>16473128</v>
      </c>
      <c r="W50" s="122">
        <f>SUM(W43:W49)</f>
        <v>17996152</v>
      </c>
      <c r="X50" s="122">
        <f>SUM(X43:X49)</f>
        <v>18527843</v>
      </c>
    </row>
    <row r="51" spans="1:24" ht="14.25" thickTop="1">
      <c r="C51" s="109"/>
      <c r="D51" s="113" t="s">
        <v>25</v>
      </c>
      <c r="E51" s="114">
        <v>562587</v>
      </c>
      <c r="F51" s="114">
        <v>517635</v>
      </c>
      <c r="G51" s="114">
        <v>452004</v>
      </c>
      <c r="H51" s="114">
        <v>394445</v>
      </c>
      <c r="I51" s="114">
        <v>489370</v>
      </c>
      <c r="J51" s="114">
        <v>495248</v>
      </c>
      <c r="K51" s="114">
        <v>601800</v>
      </c>
      <c r="L51" s="128">
        <v>455833</v>
      </c>
      <c r="M51" s="114">
        <v>700931</v>
      </c>
      <c r="N51" s="114">
        <v>556999</v>
      </c>
      <c r="O51" s="114">
        <v>696618</v>
      </c>
      <c r="P51" s="114">
        <v>735953</v>
      </c>
      <c r="Q51" s="114">
        <v>665022</v>
      </c>
      <c r="R51" s="114">
        <v>665554</v>
      </c>
      <c r="S51" s="114">
        <v>909238</v>
      </c>
      <c r="T51" s="114">
        <v>498807</v>
      </c>
      <c r="U51" s="114">
        <v>436249.94</v>
      </c>
      <c r="V51" s="114">
        <v>623882</v>
      </c>
      <c r="W51" s="114">
        <v>800600</v>
      </c>
      <c r="X51" s="114">
        <v>800600</v>
      </c>
    </row>
    <row r="52" spans="1:24">
      <c r="C52" s="109"/>
      <c r="D52" s="113" t="s">
        <v>53</v>
      </c>
      <c r="E52" s="114">
        <v>1807940</v>
      </c>
      <c r="F52" s="114">
        <v>1773569</v>
      </c>
      <c r="G52" s="114">
        <v>2094511</v>
      </c>
      <c r="H52" s="114">
        <v>2263104</v>
      </c>
      <c r="I52" s="114">
        <v>2096007</v>
      </c>
      <c r="J52" s="114">
        <v>1771285</v>
      </c>
      <c r="K52" s="114">
        <v>2209256</v>
      </c>
      <c r="L52" s="114">
        <f>1175700+443140+190078</f>
        <v>1808918</v>
      </c>
      <c r="M52" s="114">
        <v>1867313</v>
      </c>
      <c r="N52" s="114">
        <v>2663431</v>
      </c>
      <c r="O52" s="114">
        <v>2421500</v>
      </c>
      <c r="P52" s="114">
        <v>2930733</v>
      </c>
      <c r="Q52" s="114">
        <v>3075653</v>
      </c>
      <c r="R52" s="114">
        <v>3593657</v>
      </c>
      <c r="S52" s="114">
        <v>4850638</v>
      </c>
      <c r="T52" s="114">
        <v>2485744</v>
      </c>
      <c r="U52" s="114">
        <v>4008618</v>
      </c>
      <c r="V52" s="114">
        <v>5631358</v>
      </c>
      <c r="W52" s="114">
        <v>3283000</v>
      </c>
      <c r="X52" s="114">
        <v>3283000</v>
      </c>
    </row>
    <row r="53" spans="1:24" ht="14.25" thickBot="1">
      <c r="C53" s="129" t="s">
        <v>26</v>
      </c>
      <c r="D53" s="124"/>
      <c r="E53" s="123">
        <f t="shared" ref="E53:K53" si="13">E41+E50+SUM(E51:E52)</f>
        <v>67532459</v>
      </c>
      <c r="F53" s="123">
        <f t="shared" si="13"/>
        <v>73278175</v>
      </c>
      <c r="G53" s="123">
        <f t="shared" si="13"/>
        <v>77556576</v>
      </c>
      <c r="H53" s="123">
        <f t="shared" si="13"/>
        <v>82334618</v>
      </c>
      <c r="I53" s="123">
        <f t="shared" si="13"/>
        <v>86981070</v>
      </c>
      <c r="J53" s="123">
        <f t="shared" si="13"/>
        <v>82778159</v>
      </c>
      <c r="K53" s="123">
        <f t="shared" si="13"/>
        <v>87797263</v>
      </c>
      <c r="L53" s="122">
        <f t="shared" ref="L53:Q53" si="14">L41+L50+L51+L52</f>
        <v>88560752</v>
      </c>
      <c r="M53" s="122">
        <f t="shared" si="14"/>
        <v>88864973</v>
      </c>
      <c r="N53" s="122">
        <f t="shared" si="14"/>
        <v>92522286</v>
      </c>
      <c r="O53" s="122">
        <f t="shared" si="14"/>
        <v>97147307</v>
      </c>
      <c r="P53" s="122">
        <f t="shared" si="14"/>
        <v>102381169.66</v>
      </c>
      <c r="Q53" s="122">
        <f t="shared" si="14"/>
        <v>100116547</v>
      </c>
      <c r="R53" s="122">
        <f t="shared" ref="R53:W53" si="15">R41+R50+R51+R52</f>
        <v>99277499</v>
      </c>
      <c r="S53" s="122">
        <f t="shared" si="15"/>
        <v>101366157</v>
      </c>
      <c r="T53" s="122">
        <f t="shared" si="15"/>
        <v>102344732</v>
      </c>
      <c r="U53" s="122">
        <f t="shared" si="15"/>
        <v>101111470.59999999</v>
      </c>
      <c r="V53" s="122">
        <f t="shared" si="15"/>
        <v>107685577</v>
      </c>
      <c r="W53" s="122">
        <f t="shared" si="15"/>
        <v>104871478</v>
      </c>
      <c r="X53" s="122">
        <f t="shared" ref="X53" si="16">X41+X50+X51+X52</f>
        <v>111086342</v>
      </c>
    </row>
    <row r="54" spans="1:24" ht="14.25" thickTop="1">
      <c r="C54" s="109"/>
      <c r="D54" s="113" t="s">
        <v>27</v>
      </c>
      <c r="E54" s="114">
        <v>23698162</v>
      </c>
      <c r="F54" s="114">
        <v>25573029</v>
      </c>
      <c r="G54" s="114">
        <v>28114501</v>
      </c>
      <c r="H54" s="114">
        <v>30325656</v>
      </c>
      <c r="I54" s="114">
        <v>31523832</v>
      </c>
      <c r="J54" s="114">
        <v>31210590</v>
      </c>
      <c r="K54" s="114">
        <v>33141513</v>
      </c>
      <c r="L54" s="128">
        <f>33318837-154214</f>
        <v>33164623</v>
      </c>
      <c r="M54" s="114">
        <v>37919258</v>
      </c>
      <c r="N54" s="114">
        <v>47055355</v>
      </c>
      <c r="O54" s="114">
        <v>50985620</v>
      </c>
      <c r="P54" s="114">
        <v>56628723</v>
      </c>
      <c r="Q54" s="114">
        <v>56491790</v>
      </c>
      <c r="R54" s="114">
        <v>57767005</v>
      </c>
      <c r="S54" s="114">
        <v>63622427</v>
      </c>
      <c r="T54" s="114">
        <v>66048330</v>
      </c>
      <c r="U54" s="114">
        <v>69374259.739999995</v>
      </c>
      <c r="V54" s="114">
        <v>71905590</v>
      </c>
      <c r="W54" s="114">
        <v>74171951</v>
      </c>
      <c r="X54" s="114">
        <v>28103065</v>
      </c>
    </row>
    <row r="55" spans="1:24">
      <c r="C55" s="109"/>
      <c r="D55" s="113" t="s">
        <v>28</v>
      </c>
      <c r="E55" s="114">
        <v>302856</v>
      </c>
      <c r="F55" s="114">
        <v>229961</v>
      </c>
      <c r="G55" s="114">
        <v>219379</v>
      </c>
      <c r="H55" s="114">
        <v>273245</v>
      </c>
      <c r="I55" s="114">
        <v>329439</v>
      </c>
      <c r="J55" s="114">
        <v>343187</v>
      </c>
      <c r="K55" s="114">
        <v>394045</v>
      </c>
      <c r="L55" s="82">
        <f>509092+434</f>
        <v>509526</v>
      </c>
      <c r="M55" s="114">
        <v>440434</v>
      </c>
      <c r="N55" s="114">
        <v>389151</v>
      </c>
      <c r="O55" s="114">
        <v>471411</v>
      </c>
      <c r="P55" s="114">
        <v>300572</v>
      </c>
      <c r="Q55" s="114">
        <v>295890</v>
      </c>
      <c r="R55" s="114">
        <v>285328</v>
      </c>
      <c r="S55" s="114">
        <v>273457</v>
      </c>
      <c r="T55" s="114">
        <v>312325</v>
      </c>
      <c r="U55" s="114">
        <v>281400.31</v>
      </c>
      <c r="V55" s="114">
        <v>255095</v>
      </c>
      <c r="W55" s="114">
        <v>244656</v>
      </c>
      <c r="X55" s="114">
        <v>280317</v>
      </c>
    </row>
    <row r="56" spans="1:24" ht="14.25" thickBot="1">
      <c r="C56" s="93" t="s">
        <v>29</v>
      </c>
      <c r="D56" s="124"/>
      <c r="E56" s="123">
        <f t="shared" ref="E56:K56" si="17">SUM(E53:E55)</f>
        <v>91533477</v>
      </c>
      <c r="F56" s="123">
        <f t="shared" si="17"/>
        <v>99081165</v>
      </c>
      <c r="G56" s="123">
        <f t="shared" si="17"/>
        <v>105890456</v>
      </c>
      <c r="H56" s="123">
        <f t="shared" si="17"/>
        <v>112933519</v>
      </c>
      <c r="I56" s="123">
        <f t="shared" si="17"/>
        <v>118834341</v>
      </c>
      <c r="J56" s="123">
        <f t="shared" si="17"/>
        <v>114331936</v>
      </c>
      <c r="K56" s="123">
        <f t="shared" si="17"/>
        <v>121332821</v>
      </c>
      <c r="L56" s="122">
        <f t="shared" ref="L56:M56" si="18">SUM(L53:L55)</f>
        <v>122234901</v>
      </c>
      <c r="M56" s="122">
        <f t="shared" si="18"/>
        <v>127224665</v>
      </c>
      <c r="N56" s="122">
        <f>SUM(N53:N55)</f>
        <v>139966792</v>
      </c>
      <c r="O56" s="122">
        <f t="shared" ref="O56:Q56" si="19">SUM(O53:O55)</f>
        <v>148604338</v>
      </c>
      <c r="P56" s="122">
        <f t="shared" si="19"/>
        <v>159310464.66</v>
      </c>
      <c r="Q56" s="122">
        <f t="shared" si="19"/>
        <v>156904227</v>
      </c>
      <c r="R56" s="122">
        <f t="shared" ref="R56:W56" si="20">SUM(R53:R55)</f>
        <v>157329832</v>
      </c>
      <c r="S56" s="122">
        <f t="shared" si="20"/>
        <v>165262041</v>
      </c>
      <c r="T56" s="122">
        <f t="shared" si="20"/>
        <v>168705387</v>
      </c>
      <c r="U56" s="122">
        <f t="shared" si="20"/>
        <v>170767130.64999998</v>
      </c>
      <c r="V56" s="122">
        <f t="shared" si="20"/>
        <v>179846262</v>
      </c>
      <c r="W56" s="122">
        <f t="shared" si="20"/>
        <v>179288085</v>
      </c>
      <c r="X56" s="122">
        <f t="shared" ref="X56" si="21">SUM(X53:X55)</f>
        <v>139469724</v>
      </c>
    </row>
    <row r="57" spans="1:24" ht="11.25" customHeight="1" thickTop="1">
      <c r="C57" s="93"/>
      <c r="D57" s="124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spans="1:24">
      <c r="C58" s="93" t="s">
        <v>112</v>
      </c>
      <c r="D58" s="124"/>
      <c r="E58" s="82"/>
      <c r="F58" s="82"/>
      <c r="G58" s="82"/>
      <c r="H58" s="82"/>
      <c r="I58" s="82"/>
      <c r="J58" s="82"/>
      <c r="K58" s="82"/>
      <c r="L58" s="130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</row>
    <row r="59" spans="1:24">
      <c r="C59" s="109"/>
      <c r="D59" s="113" t="s">
        <v>30</v>
      </c>
      <c r="E59" s="115">
        <v>5901981</v>
      </c>
      <c r="F59" s="115">
        <v>6575165</v>
      </c>
      <c r="G59" s="115">
        <v>7443315</v>
      </c>
      <c r="H59" s="115">
        <v>7761251</v>
      </c>
      <c r="I59" s="115">
        <v>7911193</v>
      </c>
      <c r="J59" s="115">
        <v>9169906</v>
      </c>
      <c r="K59" s="114">
        <v>9781335</v>
      </c>
      <c r="L59" s="115">
        <f>9982815+(78962+73625+30142)</f>
        <v>10165544</v>
      </c>
      <c r="M59" s="114">
        <v>10719571</v>
      </c>
      <c r="N59" s="114">
        <v>11184809</v>
      </c>
      <c r="O59" s="115">
        <v>11217252</v>
      </c>
      <c r="P59" s="114">
        <v>11491457</v>
      </c>
      <c r="Q59" s="114">
        <v>12507651</v>
      </c>
      <c r="R59" s="114">
        <v>12926960</v>
      </c>
      <c r="S59" s="114">
        <v>13466700</v>
      </c>
      <c r="T59" s="114">
        <v>14073455</v>
      </c>
      <c r="U59" s="114">
        <v>14062603.609999999</v>
      </c>
      <c r="V59" s="114">
        <v>14208726</v>
      </c>
      <c r="W59" s="114">
        <v>15729057</v>
      </c>
      <c r="X59" s="114">
        <v>17683549</v>
      </c>
    </row>
    <row r="60" spans="1:24">
      <c r="C60" s="109"/>
      <c r="D60" s="113" t="s">
        <v>31</v>
      </c>
      <c r="E60" s="115">
        <v>1201307</v>
      </c>
      <c r="F60" s="115">
        <v>1216689</v>
      </c>
      <c r="G60" s="115">
        <v>1391281</v>
      </c>
      <c r="H60" s="115">
        <v>1473235</v>
      </c>
      <c r="I60" s="115">
        <v>1629165</v>
      </c>
      <c r="J60" s="115">
        <v>1797610</v>
      </c>
      <c r="K60" s="114">
        <v>2074526</v>
      </c>
      <c r="L60" s="115">
        <v>2095728</v>
      </c>
      <c r="M60" s="114">
        <v>2233688</v>
      </c>
      <c r="N60" s="114">
        <v>2286449</v>
      </c>
      <c r="O60" s="115">
        <v>2418634</v>
      </c>
      <c r="P60" s="114">
        <v>2638712.37</v>
      </c>
      <c r="Q60" s="114">
        <v>2716611</v>
      </c>
      <c r="R60" s="114">
        <v>2797943</v>
      </c>
      <c r="S60" s="114">
        <v>3075941</v>
      </c>
      <c r="T60" s="114">
        <v>2845972</v>
      </c>
      <c r="U60" s="114">
        <v>2431457.34</v>
      </c>
      <c r="V60" s="114">
        <v>2379786</v>
      </c>
      <c r="W60" s="114">
        <v>2398522</v>
      </c>
      <c r="X60" s="114">
        <v>2622571</v>
      </c>
    </row>
    <row r="61" spans="1:24">
      <c r="C61" s="109"/>
      <c r="D61" s="113" t="s">
        <v>131</v>
      </c>
      <c r="E61" s="115"/>
      <c r="F61" s="115"/>
      <c r="G61" s="115"/>
      <c r="H61" s="115"/>
      <c r="I61" s="115"/>
      <c r="J61" s="115"/>
      <c r="K61" s="114"/>
      <c r="L61" s="115"/>
      <c r="M61" s="114"/>
      <c r="N61" s="114"/>
      <c r="O61" s="115"/>
      <c r="P61" s="114"/>
      <c r="Q61" s="114"/>
      <c r="R61" s="114">
        <v>5325607</v>
      </c>
      <c r="S61" s="114">
        <v>5406520</v>
      </c>
      <c r="T61" s="114">
        <v>4969032</v>
      </c>
      <c r="U61" s="114">
        <v>5223007.76</v>
      </c>
      <c r="V61" s="114">
        <v>7052787</v>
      </c>
      <c r="W61" s="114">
        <v>7200000</v>
      </c>
      <c r="X61" s="114">
        <v>7500000</v>
      </c>
    </row>
    <row r="62" spans="1:24">
      <c r="A62" s="109"/>
      <c r="B62" s="109"/>
      <c r="C62" s="109"/>
      <c r="D62" s="113" t="s">
        <v>32</v>
      </c>
      <c r="E62" s="115">
        <v>25508135</v>
      </c>
      <c r="F62" s="115">
        <v>28895364</v>
      </c>
      <c r="G62" s="115">
        <v>31413450</v>
      </c>
      <c r="H62" s="115">
        <v>33461882</v>
      </c>
      <c r="I62" s="115">
        <v>36598893</v>
      </c>
      <c r="J62" s="115">
        <v>38018409</v>
      </c>
      <c r="K62" s="114">
        <v>32615001</v>
      </c>
      <c r="L62" s="115">
        <v>32880062</v>
      </c>
      <c r="M62" s="114">
        <v>34221422</v>
      </c>
      <c r="N62" s="114">
        <v>35582426</v>
      </c>
      <c r="O62" s="115">
        <v>36416902</v>
      </c>
      <c r="P62" s="114">
        <v>38736857</v>
      </c>
      <c r="Q62" s="114">
        <v>38879109</v>
      </c>
      <c r="R62" s="114">
        <v>39034839</v>
      </c>
      <c r="S62" s="114">
        <v>38971427</v>
      </c>
      <c r="T62" s="114">
        <v>31648515</v>
      </c>
      <c r="U62" s="114">
        <v>29698028.469999999</v>
      </c>
      <c r="V62" s="114">
        <v>32773621</v>
      </c>
      <c r="W62" s="114">
        <v>42260133</v>
      </c>
      <c r="X62" s="114">
        <v>40009580</v>
      </c>
    </row>
    <row r="63" spans="1:24">
      <c r="C63" s="109"/>
      <c r="D63" s="113" t="s">
        <v>103</v>
      </c>
      <c r="E63" s="115">
        <v>200462</v>
      </c>
      <c r="F63" s="115">
        <v>62701</v>
      </c>
      <c r="G63" s="115">
        <v>-83776</v>
      </c>
      <c r="H63" s="115">
        <v>-46884</v>
      </c>
      <c r="I63" s="115">
        <v>43117</v>
      </c>
      <c r="J63" s="115">
        <v>-179497</v>
      </c>
      <c r="K63" s="114">
        <v>209</v>
      </c>
      <c r="L63" s="115">
        <v>-42143</v>
      </c>
      <c r="M63" s="114">
        <v>6778</v>
      </c>
      <c r="N63" s="114">
        <v>357725</v>
      </c>
      <c r="O63" s="115">
        <v>346376</v>
      </c>
      <c r="P63" s="114">
        <v>283121.34000000003</v>
      </c>
      <c r="Q63" s="114">
        <v>681603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</row>
    <row r="64" spans="1:24">
      <c r="A64" s="109"/>
      <c r="B64" s="109"/>
      <c r="C64" s="109"/>
      <c r="D64" s="113" t="s">
        <v>33</v>
      </c>
      <c r="E64" s="115">
        <v>296832</v>
      </c>
      <c r="F64" s="115">
        <v>1204889</v>
      </c>
      <c r="G64" s="115">
        <v>1195184</v>
      </c>
      <c r="H64" s="115">
        <v>1234788</v>
      </c>
      <c r="I64" s="115">
        <v>1212355</v>
      </c>
      <c r="J64" s="115">
        <v>1253571</v>
      </c>
      <c r="K64" s="114">
        <v>1260926</v>
      </c>
      <c r="L64" s="131">
        <v>1279454</v>
      </c>
      <c r="M64" s="114">
        <v>1274524</v>
      </c>
      <c r="N64" s="114">
        <v>1019028</v>
      </c>
      <c r="O64" s="115">
        <v>1031777</v>
      </c>
      <c r="P64" s="114">
        <v>693112.87000000011</v>
      </c>
      <c r="Q64" s="114">
        <v>322431</v>
      </c>
      <c r="R64" s="114">
        <v>0</v>
      </c>
      <c r="S64" s="114">
        <v>0</v>
      </c>
      <c r="T64" s="114">
        <v>0</v>
      </c>
      <c r="U64" s="114">
        <v>0</v>
      </c>
      <c r="V64" s="114">
        <v>0</v>
      </c>
      <c r="W64" s="114">
        <v>0</v>
      </c>
      <c r="X64" s="114">
        <v>0</v>
      </c>
    </row>
    <row r="65" spans="1:24" ht="14.25" thickBot="1">
      <c r="A65" s="109"/>
      <c r="B65" s="109"/>
      <c r="C65" s="93" t="s">
        <v>34</v>
      </c>
      <c r="D65" s="124"/>
      <c r="E65" s="123">
        <f t="shared" ref="E65:S65" si="22">SUM(E59:E64)</f>
        <v>33108717</v>
      </c>
      <c r="F65" s="123">
        <f t="shared" si="22"/>
        <v>37954808</v>
      </c>
      <c r="G65" s="123">
        <f t="shared" si="22"/>
        <v>41359454</v>
      </c>
      <c r="H65" s="123">
        <f t="shared" si="22"/>
        <v>43884272</v>
      </c>
      <c r="I65" s="123">
        <f t="shared" si="22"/>
        <v>47394723</v>
      </c>
      <c r="J65" s="123">
        <f t="shared" si="22"/>
        <v>50059999</v>
      </c>
      <c r="K65" s="123">
        <f t="shared" si="22"/>
        <v>45731997</v>
      </c>
      <c r="L65" s="122">
        <f t="shared" si="22"/>
        <v>46378645</v>
      </c>
      <c r="M65" s="122">
        <f t="shared" si="22"/>
        <v>48455983</v>
      </c>
      <c r="N65" s="122">
        <f t="shared" si="22"/>
        <v>50430437</v>
      </c>
      <c r="O65" s="122">
        <f t="shared" si="22"/>
        <v>51430941</v>
      </c>
      <c r="P65" s="122">
        <f t="shared" si="22"/>
        <v>53843260.580000006</v>
      </c>
      <c r="Q65" s="122">
        <f t="shared" si="22"/>
        <v>55107405</v>
      </c>
      <c r="R65" s="122">
        <f>SUM(R59:R64)</f>
        <v>60085349</v>
      </c>
      <c r="S65" s="122">
        <f t="shared" si="22"/>
        <v>60920588</v>
      </c>
      <c r="T65" s="122">
        <f t="shared" ref="T65:U65" si="23">SUM(T59:T64)</f>
        <v>53536974</v>
      </c>
      <c r="U65" s="122">
        <f t="shared" si="23"/>
        <v>51415097.18</v>
      </c>
      <c r="V65" s="122">
        <f t="shared" ref="V65" si="24">SUM(V59:V64)</f>
        <v>56414920</v>
      </c>
      <c r="W65" s="122">
        <f t="shared" ref="W65:X65" si="25">SUM(W59:W64)</f>
        <v>67587712</v>
      </c>
      <c r="X65" s="122">
        <f t="shared" si="25"/>
        <v>67815700</v>
      </c>
    </row>
    <row r="66" spans="1:24" ht="12" customHeight="1" thickTop="1">
      <c r="A66" s="109"/>
      <c r="B66" s="109"/>
      <c r="C66" s="93"/>
      <c r="D66" s="124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</row>
    <row r="67" spans="1:24">
      <c r="A67" s="109"/>
      <c r="B67" s="109"/>
      <c r="C67" s="93" t="s">
        <v>113</v>
      </c>
      <c r="D67" s="124"/>
      <c r="E67" s="82"/>
      <c r="F67" s="82"/>
      <c r="G67" s="82"/>
      <c r="H67" s="82"/>
      <c r="I67" s="82"/>
      <c r="J67" s="82"/>
      <c r="K67" s="82"/>
      <c r="L67" s="130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</row>
    <row r="68" spans="1:24">
      <c r="A68" s="109"/>
      <c r="B68" s="109"/>
      <c r="C68" s="109"/>
      <c r="D68" s="113" t="s">
        <v>35</v>
      </c>
      <c r="E68" s="115">
        <v>282336</v>
      </c>
      <c r="F68" s="115">
        <v>346811</v>
      </c>
      <c r="G68" s="115">
        <v>305829</v>
      </c>
      <c r="H68" s="115">
        <v>277851</v>
      </c>
      <c r="I68" s="115">
        <v>276571</v>
      </c>
      <c r="J68" s="115">
        <v>115238</v>
      </c>
      <c r="K68" s="132">
        <v>199769</v>
      </c>
      <c r="L68" s="133">
        <v>119959</v>
      </c>
      <c r="M68" s="114">
        <v>77771</v>
      </c>
      <c r="N68" s="114">
        <v>66255</v>
      </c>
      <c r="O68" s="115">
        <v>35898</v>
      </c>
      <c r="P68" s="114">
        <v>19424.61</v>
      </c>
      <c r="Q68" s="114">
        <v>49804</v>
      </c>
      <c r="R68" s="114"/>
      <c r="S68" s="114"/>
      <c r="T68" s="114"/>
      <c r="U68" s="114"/>
      <c r="V68" s="114"/>
      <c r="W68" s="114"/>
      <c r="X68" s="114"/>
    </row>
    <row r="69" spans="1:24">
      <c r="A69" s="109"/>
      <c r="B69" s="109"/>
      <c r="C69" s="109"/>
      <c r="D69" s="113" t="s">
        <v>36</v>
      </c>
      <c r="E69" s="115">
        <v>935466</v>
      </c>
      <c r="F69" s="115">
        <v>1009290</v>
      </c>
      <c r="G69" s="115">
        <v>1244998</v>
      </c>
      <c r="H69" s="115">
        <v>1237539</v>
      </c>
      <c r="I69" s="115">
        <v>1261672</v>
      </c>
      <c r="J69" s="115">
        <v>1324893</v>
      </c>
      <c r="K69" s="132">
        <v>1273014</v>
      </c>
      <c r="L69" s="134">
        <v>981420</v>
      </c>
      <c r="M69" s="114">
        <v>1292113</v>
      </c>
      <c r="N69" s="114">
        <v>1272792</v>
      </c>
      <c r="O69" s="115">
        <v>1287206</v>
      </c>
      <c r="P69" s="114">
        <v>1182225.3700000001</v>
      </c>
      <c r="Q69" s="114">
        <v>1117362</v>
      </c>
      <c r="R69" s="114"/>
      <c r="S69" s="114"/>
      <c r="T69" s="114"/>
      <c r="U69" s="114"/>
      <c r="V69" s="114"/>
      <c r="W69" s="114"/>
      <c r="X69" s="114"/>
    </row>
    <row r="70" spans="1:24">
      <c r="A70" s="109"/>
      <c r="B70" s="109"/>
      <c r="C70" s="109"/>
      <c r="D70" s="113" t="s">
        <v>37</v>
      </c>
      <c r="E70" s="115">
        <v>174710</v>
      </c>
      <c r="F70" s="115">
        <v>256028</v>
      </c>
      <c r="G70" s="115">
        <v>395200</v>
      </c>
      <c r="H70" s="115">
        <v>124088</v>
      </c>
      <c r="I70" s="115">
        <v>129600</v>
      </c>
      <c r="J70" s="115">
        <v>180970</v>
      </c>
      <c r="K70" s="132">
        <v>165747</v>
      </c>
      <c r="L70" s="134">
        <f>113261+260050</f>
        <v>373311</v>
      </c>
      <c r="M70" s="114">
        <v>360693</v>
      </c>
      <c r="N70" s="114">
        <v>407550</v>
      </c>
      <c r="O70" s="115">
        <v>430821</v>
      </c>
      <c r="P70" s="114">
        <v>472568.86</v>
      </c>
      <c r="Q70" s="114">
        <v>564108</v>
      </c>
      <c r="R70" s="114"/>
      <c r="S70" s="114"/>
      <c r="T70" s="114"/>
      <c r="U70" s="114"/>
      <c r="V70" s="114"/>
      <c r="W70" s="114"/>
      <c r="X70" s="114"/>
    </row>
    <row r="71" spans="1:24">
      <c r="A71" s="109"/>
      <c r="B71" s="109"/>
      <c r="C71" s="109"/>
      <c r="D71" s="113" t="s">
        <v>38</v>
      </c>
      <c r="E71" s="115">
        <v>17672</v>
      </c>
      <c r="F71" s="115">
        <v>17340</v>
      </c>
      <c r="G71" s="115">
        <v>53081</v>
      </c>
      <c r="H71" s="115">
        <v>32690</v>
      </c>
      <c r="I71" s="115">
        <v>34455</v>
      </c>
      <c r="J71" s="115">
        <v>12778</v>
      </c>
      <c r="K71" s="132">
        <v>47582</v>
      </c>
      <c r="L71" s="135">
        <v>16246</v>
      </c>
      <c r="M71" s="114">
        <v>54691</v>
      </c>
      <c r="N71" s="114">
        <v>72340</v>
      </c>
      <c r="O71" s="115">
        <v>17501</v>
      </c>
      <c r="P71" s="114">
        <v>55378.830000000009</v>
      </c>
      <c r="Q71" s="114">
        <v>6644</v>
      </c>
      <c r="R71" s="114"/>
      <c r="S71" s="114"/>
      <c r="T71" s="114"/>
      <c r="U71" s="114"/>
      <c r="V71" s="114"/>
      <c r="W71" s="114"/>
      <c r="X71" s="114"/>
    </row>
    <row r="72" spans="1:24" ht="14.25" thickBot="1">
      <c r="A72" s="109"/>
      <c r="B72" s="109"/>
      <c r="C72" s="93" t="s">
        <v>39</v>
      </c>
      <c r="D72" s="124"/>
      <c r="E72" s="123">
        <f t="shared" ref="E72:K72" si="26">SUM(E68:E71)</f>
        <v>1410184</v>
      </c>
      <c r="F72" s="123">
        <f t="shared" si="26"/>
        <v>1629469</v>
      </c>
      <c r="G72" s="123">
        <f t="shared" si="26"/>
        <v>1999108</v>
      </c>
      <c r="H72" s="123">
        <f t="shared" si="26"/>
        <v>1672168</v>
      </c>
      <c r="I72" s="123">
        <f t="shared" si="26"/>
        <v>1702298</v>
      </c>
      <c r="J72" s="123">
        <f t="shared" si="26"/>
        <v>1633879</v>
      </c>
      <c r="K72" s="123">
        <f t="shared" si="26"/>
        <v>1686112</v>
      </c>
      <c r="L72" s="122">
        <f t="shared" ref="L72:W72" si="27">SUM(L68:L71)</f>
        <v>1490936</v>
      </c>
      <c r="M72" s="122">
        <f t="shared" si="27"/>
        <v>1785268</v>
      </c>
      <c r="N72" s="122">
        <f t="shared" si="27"/>
        <v>1818937</v>
      </c>
      <c r="O72" s="122">
        <f t="shared" si="27"/>
        <v>1771426</v>
      </c>
      <c r="P72" s="122">
        <f t="shared" si="27"/>
        <v>1729597.6700000004</v>
      </c>
      <c r="Q72" s="122">
        <f t="shared" si="27"/>
        <v>1737918</v>
      </c>
      <c r="R72" s="122">
        <f t="shared" si="27"/>
        <v>0</v>
      </c>
      <c r="S72" s="122">
        <f t="shared" si="27"/>
        <v>0</v>
      </c>
      <c r="T72" s="122">
        <f t="shared" ref="T72:U72" si="28">SUM(T68:T71)</f>
        <v>0</v>
      </c>
      <c r="U72" s="122">
        <f t="shared" si="28"/>
        <v>0</v>
      </c>
      <c r="V72" s="122">
        <f t="shared" ref="V72" si="29">SUM(V68:V71)</f>
        <v>0</v>
      </c>
      <c r="W72" s="122">
        <f t="shared" si="27"/>
        <v>0</v>
      </c>
      <c r="X72" s="122">
        <f t="shared" ref="X72" si="30">SUM(X68:X71)</f>
        <v>0</v>
      </c>
    </row>
    <row r="73" spans="1:24" ht="14.25" thickTop="1">
      <c r="A73" s="109"/>
      <c r="B73" s="109"/>
      <c r="C73" s="109"/>
      <c r="D73" s="124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</row>
    <row r="74" spans="1:24" ht="14.25" thickBot="1">
      <c r="A74" s="109"/>
      <c r="B74" s="109"/>
      <c r="C74" s="93" t="s">
        <v>40</v>
      </c>
      <c r="D74" s="124"/>
      <c r="E74" s="123">
        <v>1337240</v>
      </c>
      <c r="F74" s="123">
        <v>2022136</v>
      </c>
      <c r="G74" s="123">
        <v>2575063</v>
      </c>
      <c r="H74" s="123">
        <v>1722130</v>
      </c>
      <c r="I74" s="123">
        <v>1606313</v>
      </c>
      <c r="J74" s="123">
        <v>3044484</v>
      </c>
      <c r="K74" s="123">
        <v>7083904</v>
      </c>
      <c r="L74" s="123">
        <v>3664484</v>
      </c>
      <c r="M74" s="123">
        <v>4125941</v>
      </c>
      <c r="N74" s="123">
        <v>3721964</v>
      </c>
      <c r="O74" s="123">
        <v>2448323</v>
      </c>
      <c r="P74" s="123">
        <v>2758197</v>
      </c>
      <c r="Q74" s="123">
        <v>3011515</v>
      </c>
      <c r="R74" s="123"/>
      <c r="S74" s="123"/>
      <c r="T74" s="123"/>
      <c r="U74" s="123"/>
      <c r="V74" s="123"/>
      <c r="W74" s="123"/>
      <c r="X74" s="123"/>
    </row>
    <row r="75" spans="1:24" ht="14.25" thickTop="1">
      <c r="A75" s="109"/>
      <c r="B75" s="109"/>
      <c r="C75" s="93"/>
      <c r="D75" s="124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</row>
    <row r="76" spans="1:24" ht="14.25" thickBot="1">
      <c r="A76" s="109"/>
      <c r="B76" s="109"/>
      <c r="C76" s="93" t="s">
        <v>41</v>
      </c>
      <c r="D76" s="124"/>
      <c r="E76" s="123">
        <f t="shared" ref="E76:W76" si="31">E56+E65+E72+E74</f>
        <v>127389618</v>
      </c>
      <c r="F76" s="123">
        <f t="shared" si="31"/>
        <v>140687578</v>
      </c>
      <c r="G76" s="123">
        <f t="shared" si="31"/>
        <v>151824081</v>
      </c>
      <c r="H76" s="123">
        <f t="shared" si="31"/>
        <v>160212089</v>
      </c>
      <c r="I76" s="123">
        <f t="shared" si="31"/>
        <v>169537675</v>
      </c>
      <c r="J76" s="123">
        <f t="shared" si="31"/>
        <v>169070298</v>
      </c>
      <c r="K76" s="123">
        <f t="shared" si="31"/>
        <v>175834834</v>
      </c>
      <c r="L76" s="123">
        <f t="shared" si="31"/>
        <v>173768966</v>
      </c>
      <c r="M76" s="123">
        <f t="shared" si="31"/>
        <v>181591857</v>
      </c>
      <c r="N76" s="123">
        <f t="shared" si="31"/>
        <v>195938130</v>
      </c>
      <c r="O76" s="123">
        <f t="shared" si="31"/>
        <v>204255028</v>
      </c>
      <c r="P76" s="123">
        <f t="shared" si="31"/>
        <v>217641519.91</v>
      </c>
      <c r="Q76" s="123">
        <f t="shared" si="31"/>
        <v>216761065</v>
      </c>
      <c r="R76" s="123">
        <f t="shared" si="31"/>
        <v>217415181</v>
      </c>
      <c r="S76" s="123">
        <f t="shared" si="31"/>
        <v>226182629</v>
      </c>
      <c r="T76" s="123">
        <f t="shared" ref="T76:U76" si="32">T56+T65+T72+T74</f>
        <v>222242361</v>
      </c>
      <c r="U76" s="123">
        <f t="shared" si="32"/>
        <v>222182227.82999998</v>
      </c>
      <c r="V76" s="123">
        <f t="shared" ref="V76" si="33">V56+V65+V72+V74</f>
        <v>236261182</v>
      </c>
      <c r="W76" s="123">
        <f t="shared" si="31"/>
        <v>246875797</v>
      </c>
      <c r="X76" s="123">
        <f t="shared" ref="X76" si="34">X56+X65+X72+X74</f>
        <v>207285424</v>
      </c>
    </row>
    <row r="77" spans="1:24" ht="14.25" thickTop="1">
      <c r="A77" s="109"/>
      <c r="B77" s="109"/>
      <c r="C77" s="93"/>
      <c r="D77" s="124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</row>
    <row r="78" spans="1:24" ht="14.25" thickBot="1">
      <c r="A78" s="109"/>
      <c r="B78" s="109"/>
      <c r="C78" s="93" t="s">
        <v>42</v>
      </c>
      <c r="D78" s="124"/>
      <c r="E78" s="123">
        <f t="shared" ref="E78:R78" si="35">E27-E76</f>
        <v>18098812</v>
      </c>
      <c r="F78" s="123">
        <f t="shared" si="35"/>
        <v>18392739</v>
      </c>
      <c r="G78" s="123">
        <f t="shared" si="35"/>
        <v>17278006</v>
      </c>
      <c r="H78" s="123">
        <f t="shared" si="35"/>
        <v>19645806</v>
      </c>
      <c r="I78" s="123">
        <f t="shared" si="35"/>
        <v>11706037</v>
      </c>
      <c r="J78" s="123">
        <f t="shared" si="35"/>
        <v>19404798</v>
      </c>
      <c r="K78" s="123">
        <f t="shared" si="35"/>
        <v>20561857</v>
      </c>
      <c r="L78" s="123">
        <f t="shared" si="35"/>
        <v>14589007.5</v>
      </c>
      <c r="M78" s="123">
        <f t="shared" si="35"/>
        <v>9674842</v>
      </c>
      <c r="N78" s="123">
        <f t="shared" si="35"/>
        <v>12527077</v>
      </c>
      <c r="O78" s="123">
        <f t="shared" si="35"/>
        <v>10490891</v>
      </c>
      <c r="P78" s="123">
        <f t="shared" si="35"/>
        <v>14526280.169999987</v>
      </c>
      <c r="Q78" s="123">
        <f t="shared" si="35"/>
        <v>13896017</v>
      </c>
      <c r="R78" s="123">
        <f t="shared" si="35"/>
        <v>14254599</v>
      </c>
      <c r="S78" s="123">
        <f>(S27-S76)+1</f>
        <v>18208627</v>
      </c>
      <c r="T78" s="123">
        <f>(T27-T76)+1</f>
        <v>12964070</v>
      </c>
      <c r="U78" s="123">
        <f>(U27-U76)</f>
        <v>894309.58000001311</v>
      </c>
      <c r="V78" s="123">
        <f>(V27-V76)</f>
        <v>8508191</v>
      </c>
      <c r="W78" s="123">
        <f t="shared" ref="W78:X78" si="36">W27-W76</f>
        <v>41025799</v>
      </c>
      <c r="X78" s="123">
        <f t="shared" si="36"/>
        <v>28913472</v>
      </c>
    </row>
    <row r="79" spans="1:24" ht="14.25" thickTop="1">
      <c r="A79" s="109"/>
      <c r="B79" s="109"/>
      <c r="C79" s="129"/>
      <c r="D79" s="124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</row>
    <row r="80" spans="1:24">
      <c r="A80" s="109"/>
      <c r="B80" s="109"/>
      <c r="C80" s="93" t="s">
        <v>43</v>
      </c>
      <c r="D80" s="124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spans="1:24">
      <c r="A81" s="109"/>
      <c r="B81" s="109"/>
      <c r="C81" s="129"/>
      <c r="D81" s="124" t="s">
        <v>44</v>
      </c>
      <c r="E81" s="114">
        <v>-6034321</v>
      </c>
      <c r="F81" s="114">
        <v>-6347432</v>
      </c>
      <c r="G81" s="114">
        <v>-6598329</v>
      </c>
      <c r="H81" s="114">
        <v>-6990335</v>
      </c>
      <c r="I81" s="114">
        <v>-7277131</v>
      </c>
      <c r="J81" s="114">
        <v>-7771426</v>
      </c>
      <c r="K81" s="114">
        <v>-8017215</v>
      </c>
      <c r="L81" s="114">
        <v>-8073564</v>
      </c>
      <c r="M81" s="114">
        <v>-8271492</v>
      </c>
      <c r="N81" s="114">
        <v>-8410681</v>
      </c>
      <c r="O81" s="114">
        <v>-8631261</v>
      </c>
      <c r="P81" s="114">
        <v>-6820248</v>
      </c>
      <c r="Q81" s="114">
        <v>-7028311</v>
      </c>
      <c r="R81" s="114">
        <v>-7259384</v>
      </c>
      <c r="S81" s="114">
        <v>-7282291</v>
      </c>
      <c r="T81" s="114">
        <v>-6910706</v>
      </c>
      <c r="U81" s="114">
        <v>-6551622.5</v>
      </c>
      <c r="V81" s="114">
        <v>-5959450</v>
      </c>
      <c r="W81" s="114">
        <v>-6028000</v>
      </c>
      <c r="X81" s="114">
        <v>-6205000</v>
      </c>
    </row>
    <row r="82" spans="1:24">
      <c r="A82" s="109"/>
      <c r="B82" s="109"/>
      <c r="C82" s="129"/>
      <c r="D82" s="124" t="s">
        <v>145</v>
      </c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>
        <v>-2000000</v>
      </c>
      <c r="P82" s="136">
        <v>-4000000</v>
      </c>
      <c r="Q82" s="136">
        <v>-5020531</v>
      </c>
      <c r="R82" s="136">
        <v>-4642258</v>
      </c>
      <c r="S82" s="136">
        <v>-4909797</v>
      </c>
      <c r="T82" s="136">
        <v>-4000000</v>
      </c>
      <c r="U82" s="136">
        <v>-1560210.96</v>
      </c>
      <c r="V82" s="136">
        <v>-2784000</v>
      </c>
      <c r="W82" s="136">
        <v>-4442855</v>
      </c>
      <c r="X82" s="136">
        <v>-4811854</v>
      </c>
    </row>
    <row r="83" spans="1:24">
      <c r="A83" s="109"/>
      <c r="B83" s="109"/>
      <c r="C83" s="109"/>
      <c r="D83" s="124" t="s">
        <v>138</v>
      </c>
      <c r="E83" s="136">
        <v>-1651107</v>
      </c>
      <c r="F83" s="136">
        <v>-1556834</v>
      </c>
      <c r="G83" s="136">
        <v>-1577636</v>
      </c>
      <c r="H83" s="136">
        <v>-1539387</v>
      </c>
      <c r="I83" s="136">
        <v>-1503597</v>
      </c>
      <c r="J83" s="136">
        <v>-1019373</v>
      </c>
      <c r="K83" s="136">
        <v>-983121</v>
      </c>
      <c r="L83" s="136">
        <f>-(922720+5627)</f>
        <v>-928347</v>
      </c>
      <c r="M83" s="136">
        <v>-817313</v>
      </c>
      <c r="N83" s="136">
        <v>-825607</v>
      </c>
      <c r="O83" s="136">
        <v>-824856</v>
      </c>
      <c r="P83" s="136">
        <v>-716521</v>
      </c>
      <c r="Q83" s="136">
        <v>-802497</v>
      </c>
      <c r="R83" s="136">
        <v>-747412</v>
      </c>
      <c r="S83" s="136">
        <v>-730032</v>
      </c>
      <c r="T83" s="136">
        <v>-686090</v>
      </c>
      <c r="U83" s="136">
        <v>-773687.42999999993</v>
      </c>
      <c r="V83" s="136">
        <v>-1056176</v>
      </c>
      <c r="W83" s="136">
        <v>166229</v>
      </c>
      <c r="X83" s="136">
        <v>-86778</v>
      </c>
    </row>
    <row r="84" spans="1:24">
      <c r="A84" s="109"/>
      <c r="B84" s="109"/>
      <c r="C84" s="109"/>
      <c r="D84" s="124" t="s">
        <v>139</v>
      </c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>
        <v>-885522.7</v>
      </c>
      <c r="V84" s="136">
        <v>-580240</v>
      </c>
      <c r="W84" s="136">
        <v>-1376105</v>
      </c>
      <c r="X84" s="136">
        <v>-1395865</v>
      </c>
    </row>
    <row r="85" spans="1:24">
      <c r="A85" s="109"/>
      <c r="B85" s="109"/>
      <c r="C85" s="109"/>
      <c r="D85" s="124" t="s">
        <v>132</v>
      </c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>
        <v>-500000</v>
      </c>
      <c r="T85" s="136">
        <v>0</v>
      </c>
      <c r="U85" s="136">
        <v>0</v>
      </c>
      <c r="V85" s="136">
        <v>-701012</v>
      </c>
      <c r="W85" s="136">
        <v>-814580</v>
      </c>
      <c r="X85" s="136">
        <v>-840820</v>
      </c>
    </row>
    <row r="86" spans="1:24">
      <c r="A86" s="137"/>
      <c r="B86" s="137"/>
      <c r="C86" s="129"/>
      <c r="D86" s="124" t="s">
        <v>57</v>
      </c>
      <c r="E86" s="136">
        <v>-619788</v>
      </c>
      <c r="F86" s="136">
        <v>-680998</v>
      </c>
      <c r="G86" s="136">
        <v>-812280</v>
      </c>
      <c r="H86" s="136">
        <v>-349643</v>
      </c>
      <c r="I86" s="136">
        <v>-358856</v>
      </c>
      <c r="J86" s="136">
        <v>-986814</v>
      </c>
      <c r="K86" s="136">
        <v>-1018232</v>
      </c>
      <c r="L86" s="136">
        <f>-(589813+416655)</f>
        <v>-1006468</v>
      </c>
      <c r="M86" s="136">
        <v>-342606</v>
      </c>
      <c r="N86" s="136">
        <v>-1054972</v>
      </c>
      <c r="O86" s="136">
        <v>-1132376</v>
      </c>
      <c r="P86" s="136">
        <v>-1333894</v>
      </c>
      <c r="Q86" s="136">
        <v>-434389</v>
      </c>
      <c r="R86" s="136">
        <v>0</v>
      </c>
      <c r="S86" s="136">
        <v>-500000</v>
      </c>
      <c r="T86" s="136">
        <v>0</v>
      </c>
      <c r="U86" s="136">
        <v>0</v>
      </c>
      <c r="V86" s="136">
        <v>-391425</v>
      </c>
      <c r="W86" s="136">
        <v>-456970</v>
      </c>
      <c r="X86" s="136">
        <v>-479911</v>
      </c>
    </row>
    <row r="87" spans="1:24">
      <c r="A87" s="137"/>
      <c r="B87" s="137"/>
      <c r="C87" s="129"/>
      <c r="D87" s="124" t="s">
        <v>66</v>
      </c>
      <c r="E87" s="136">
        <v>175000</v>
      </c>
      <c r="F87" s="136">
        <v>175000</v>
      </c>
      <c r="G87" s="136">
        <v>142338</v>
      </c>
      <c r="H87" s="136"/>
      <c r="I87" s="136"/>
      <c r="J87" s="136"/>
      <c r="K87" s="136"/>
      <c r="L87" s="136">
        <v>0</v>
      </c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</row>
    <row r="88" spans="1:24">
      <c r="A88" s="137"/>
      <c r="B88" s="137"/>
      <c r="C88" s="129"/>
      <c r="D88" s="124" t="s">
        <v>124</v>
      </c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>
        <v>269650</v>
      </c>
      <c r="R88" s="136"/>
      <c r="S88" s="136"/>
      <c r="T88" s="136"/>
      <c r="U88" s="136"/>
      <c r="V88" s="136"/>
      <c r="W88" s="136"/>
      <c r="X88" s="136"/>
    </row>
    <row r="89" spans="1:24">
      <c r="A89" s="137"/>
      <c r="B89" s="137"/>
      <c r="C89" s="129"/>
      <c r="D89" s="124" t="s">
        <v>125</v>
      </c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>
        <v>0</v>
      </c>
      <c r="S89" s="136">
        <v>0</v>
      </c>
      <c r="T89" s="136">
        <v>0</v>
      </c>
      <c r="U89" s="136">
        <v>0</v>
      </c>
      <c r="V89" s="136">
        <v>0</v>
      </c>
      <c r="W89" s="136">
        <v>0</v>
      </c>
      <c r="X89" s="136">
        <v>0</v>
      </c>
    </row>
    <row r="90" spans="1:24">
      <c r="A90" s="137"/>
      <c r="B90" s="137"/>
      <c r="C90" s="129"/>
      <c r="D90" s="124" t="s">
        <v>133</v>
      </c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>
        <v>-983831</v>
      </c>
      <c r="S90" s="136">
        <v>-995558</v>
      </c>
      <c r="T90" s="136">
        <v>-1036586</v>
      </c>
      <c r="U90" s="136">
        <v>-1057289</v>
      </c>
      <c r="V90" s="136">
        <v>-1044101</v>
      </c>
      <c r="W90" s="136">
        <v>-1195234</v>
      </c>
      <c r="X90" s="136">
        <v>-1596900</v>
      </c>
    </row>
    <row r="91" spans="1:24">
      <c r="A91" s="109"/>
      <c r="B91" s="109"/>
      <c r="C91" s="109"/>
      <c r="D91" s="124" t="s">
        <v>67</v>
      </c>
      <c r="E91" s="136">
        <v>0</v>
      </c>
      <c r="F91" s="136">
        <v>0</v>
      </c>
      <c r="G91" s="136">
        <v>-12500</v>
      </c>
      <c r="H91" s="136"/>
      <c r="I91" s="136"/>
      <c r="J91" s="136"/>
      <c r="K91" s="136"/>
      <c r="L91" s="138"/>
      <c r="M91" s="136">
        <v>0</v>
      </c>
      <c r="N91" s="136">
        <v>0</v>
      </c>
      <c r="O91" s="136">
        <v>0</v>
      </c>
      <c r="P91" s="136">
        <v>0</v>
      </c>
      <c r="Q91" s="136">
        <v>0</v>
      </c>
      <c r="R91" s="136">
        <v>0</v>
      </c>
      <c r="S91" s="136">
        <v>0</v>
      </c>
      <c r="T91" s="136">
        <v>0</v>
      </c>
      <c r="U91" s="136"/>
      <c r="V91" s="136"/>
      <c r="W91" s="136">
        <v>0</v>
      </c>
      <c r="X91" s="136">
        <v>0</v>
      </c>
    </row>
    <row r="92" spans="1:24">
      <c r="A92" s="137"/>
      <c r="B92" s="137"/>
      <c r="C92" s="129"/>
      <c r="D92" s="124" t="s">
        <v>68</v>
      </c>
      <c r="E92" s="136">
        <v>-587430</v>
      </c>
      <c r="F92" s="136">
        <v>-609725</v>
      </c>
      <c r="G92" s="136">
        <v>-625079</v>
      </c>
      <c r="H92" s="136">
        <v>-654919</v>
      </c>
      <c r="I92" s="136"/>
      <c r="J92" s="136"/>
      <c r="K92" s="136"/>
      <c r="L92" s="138"/>
      <c r="M92" s="136">
        <v>0</v>
      </c>
      <c r="N92" s="136">
        <v>0</v>
      </c>
      <c r="O92" s="136">
        <v>0</v>
      </c>
      <c r="P92" s="136">
        <v>0</v>
      </c>
      <c r="Q92" s="136">
        <v>0</v>
      </c>
      <c r="R92" s="136">
        <v>0</v>
      </c>
      <c r="S92" s="136">
        <v>0</v>
      </c>
      <c r="T92" s="136">
        <v>0</v>
      </c>
      <c r="U92" s="136"/>
      <c r="V92" s="136"/>
      <c r="W92" s="136">
        <v>0</v>
      </c>
      <c r="X92" s="136">
        <v>0</v>
      </c>
    </row>
    <row r="93" spans="1:24">
      <c r="A93" s="137"/>
      <c r="B93" s="137"/>
      <c r="C93" s="129"/>
      <c r="D93" s="124" t="s">
        <v>56</v>
      </c>
      <c r="E93" s="136">
        <v>0</v>
      </c>
      <c r="F93" s="136">
        <v>0</v>
      </c>
      <c r="G93" s="136">
        <v>0</v>
      </c>
      <c r="H93" s="136">
        <v>0</v>
      </c>
      <c r="I93" s="136">
        <v>0</v>
      </c>
      <c r="J93" s="136">
        <v>-587756</v>
      </c>
      <c r="K93" s="136">
        <v>0</v>
      </c>
      <c r="L93" s="138"/>
      <c r="M93" s="136">
        <v>0</v>
      </c>
      <c r="N93" s="136">
        <v>0</v>
      </c>
      <c r="O93" s="136">
        <v>0</v>
      </c>
      <c r="P93" s="136">
        <v>0</v>
      </c>
      <c r="Q93" s="136">
        <v>0</v>
      </c>
      <c r="R93" s="136">
        <v>0</v>
      </c>
      <c r="S93" s="136">
        <v>0</v>
      </c>
      <c r="T93" s="136">
        <v>0</v>
      </c>
      <c r="U93" s="136"/>
      <c r="V93" s="136"/>
      <c r="W93" s="136">
        <v>0</v>
      </c>
      <c r="X93" s="136">
        <v>0</v>
      </c>
    </row>
    <row r="94" spans="1:24">
      <c r="A94" s="109"/>
      <c r="B94" s="109"/>
      <c r="C94" s="129"/>
      <c r="D94" s="124" t="s">
        <v>60</v>
      </c>
      <c r="E94" s="136">
        <v>0</v>
      </c>
      <c r="F94" s="136">
        <v>0</v>
      </c>
      <c r="G94" s="136">
        <v>0</v>
      </c>
      <c r="H94" s="136">
        <v>0</v>
      </c>
      <c r="I94" s="136">
        <v>0</v>
      </c>
      <c r="J94" s="136">
        <v>-3821441</v>
      </c>
      <c r="K94" s="136">
        <v>0</v>
      </c>
      <c r="L94" s="138"/>
      <c r="M94" s="136">
        <v>0</v>
      </c>
      <c r="N94" s="136">
        <v>0</v>
      </c>
      <c r="O94" s="136">
        <v>0</v>
      </c>
      <c r="P94" s="136">
        <v>0</v>
      </c>
      <c r="Q94" s="136">
        <v>0</v>
      </c>
      <c r="R94" s="136">
        <v>0</v>
      </c>
      <c r="S94" s="136">
        <v>0</v>
      </c>
      <c r="T94" s="136">
        <v>0</v>
      </c>
      <c r="U94" s="136"/>
      <c r="V94" s="136"/>
      <c r="W94" s="136">
        <v>0</v>
      </c>
      <c r="X94" s="136">
        <v>0</v>
      </c>
    </row>
    <row r="95" spans="1:24" ht="14.25" thickBot="1">
      <c r="A95" s="109"/>
      <c r="B95" s="109"/>
      <c r="C95" s="93" t="s">
        <v>45</v>
      </c>
      <c r="D95" s="124"/>
      <c r="E95" s="122">
        <f t="shared" ref="E95:K95" si="37">SUM(E81:E94)</f>
        <v>-8717646</v>
      </c>
      <c r="F95" s="122">
        <f t="shared" si="37"/>
        <v>-9019989</v>
      </c>
      <c r="G95" s="122">
        <f t="shared" si="37"/>
        <v>-9483486</v>
      </c>
      <c r="H95" s="122">
        <f t="shared" si="37"/>
        <v>-9534284</v>
      </c>
      <c r="I95" s="122">
        <f t="shared" si="37"/>
        <v>-9139584</v>
      </c>
      <c r="J95" s="122">
        <f t="shared" si="37"/>
        <v>-14186810</v>
      </c>
      <c r="K95" s="122">
        <f t="shared" si="37"/>
        <v>-10018568</v>
      </c>
      <c r="L95" s="122">
        <f>SUM(L81:L87)</f>
        <v>-10008379</v>
      </c>
      <c r="M95" s="122">
        <f>SUM(M81:M87)</f>
        <v>-9431411</v>
      </c>
      <c r="N95" s="122">
        <f>SUM(N81:N87)</f>
        <v>-10291260</v>
      </c>
      <c r="O95" s="122">
        <f>SUM(O81:O87)</f>
        <v>-12588493</v>
      </c>
      <c r="P95" s="122">
        <f>SUM(P81:P87)</f>
        <v>-12870663</v>
      </c>
      <c r="Q95" s="122">
        <f t="shared" ref="Q95:V95" si="38">SUM(Q81:Q94)</f>
        <v>-13016078</v>
      </c>
      <c r="R95" s="122">
        <f t="shared" si="38"/>
        <v>-13632885</v>
      </c>
      <c r="S95" s="122">
        <f t="shared" si="38"/>
        <v>-14917678</v>
      </c>
      <c r="T95" s="122">
        <f t="shared" si="38"/>
        <v>-12633382</v>
      </c>
      <c r="U95" s="122">
        <f t="shared" si="38"/>
        <v>-10828332.59</v>
      </c>
      <c r="V95" s="122">
        <f t="shared" si="38"/>
        <v>-12516404</v>
      </c>
      <c r="W95" s="122">
        <f>SUM(W81:W94)</f>
        <v>-14147515</v>
      </c>
      <c r="X95" s="122">
        <f>SUM(X81:X94)</f>
        <v>-15417128</v>
      </c>
    </row>
    <row r="96" spans="1:24" ht="14.25" thickTop="1">
      <c r="A96" s="109"/>
      <c r="B96" s="109"/>
      <c r="C96" s="93"/>
      <c r="D96" s="124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</row>
    <row r="97" spans="1:24">
      <c r="A97" s="109"/>
      <c r="B97" s="109"/>
      <c r="C97" s="93" t="s">
        <v>46</v>
      </c>
      <c r="D97" s="124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</row>
    <row r="98" spans="1:24">
      <c r="A98" s="109"/>
      <c r="B98" s="109"/>
      <c r="C98" s="93"/>
      <c r="D98" s="124" t="s">
        <v>69</v>
      </c>
      <c r="E98" s="114">
        <v>0</v>
      </c>
      <c r="F98" s="114">
        <v>0</v>
      </c>
      <c r="G98" s="114">
        <v>-1800000</v>
      </c>
      <c r="H98" s="114">
        <v>0</v>
      </c>
      <c r="I98" s="114">
        <v>0</v>
      </c>
      <c r="J98" s="114">
        <v>0</v>
      </c>
      <c r="K98" s="114">
        <v>0</v>
      </c>
      <c r="L98" s="139"/>
      <c r="M98" s="140"/>
      <c r="N98" s="140"/>
      <c r="O98" s="140"/>
      <c r="P98" s="140"/>
      <c r="Q98" s="140"/>
      <c r="R98" s="140"/>
      <c r="S98" s="140"/>
      <c r="T98" s="140"/>
      <c r="U98" s="139"/>
      <c r="V98" s="139"/>
      <c r="W98" s="140"/>
      <c r="X98" s="140"/>
    </row>
    <row r="99" spans="1:24">
      <c r="A99" s="109"/>
      <c r="B99" s="109"/>
      <c r="C99" s="93"/>
      <c r="D99" s="124" t="s">
        <v>70</v>
      </c>
      <c r="E99" s="136">
        <v>0</v>
      </c>
      <c r="F99" s="136">
        <v>0</v>
      </c>
      <c r="G99" s="136">
        <v>-258626</v>
      </c>
      <c r="H99" s="136"/>
      <c r="I99" s="136"/>
      <c r="J99" s="136"/>
      <c r="K99" s="136"/>
      <c r="L99" s="138"/>
      <c r="M99" s="141"/>
      <c r="N99" s="141"/>
      <c r="O99" s="141"/>
      <c r="P99" s="141"/>
      <c r="Q99" s="141"/>
      <c r="R99" s="141"/>
      <c r="S99" s="141"/>
      <c r="T99" s="141"/>
      <c r="U99" s="138"/>
      <c r="V99" s="138"/>
      <c r="W99" s="141"/>
      <c r="X99" s="141"/>
    </row>
    <row r="100" spans="1:24">
      <c r="A100" s="109"/>
      <c r="B100" s="109"/>
      <c r="C100" s="93"/>
      <c r="D100" s="124" t="s">
        <v>71</v>
      </c>
      <c r="E100" s="136">
        <v>0</v>
      </c>
      <c r="F100" s="136">
        <v>0</v>
      </c>
      <c r="G100" s="136">
        <v>-1735526</v>
      </c>
      <c r="H100" s="136"/>
      <c r="I100" s="136"/>
      <c r="J100" s="136"/>
      <c r="K100" s="136"/>
      <c r="L100" s="138"/>
      <c r="M100" s="141"/>
      <c r="N100" s="141"/>
      <c r="O100" s="141"/>
      <c r="P100" s="141"/>
      <c r="Q100" s="141"/>
      <c r="R100" s="141"/>
      <c r="S100" s="141"/>
      <c r="T100" s="141"/>
      <c r="U100" s="138"/>
      <c r="V100" s="138"/>
      <c r="W100" s="141"/>
      <c r="X100" s="141"/>
    </row>
    <row r="101" spans="1:24">
      <c r="A101" s="109"/>
      <c r="B101" s="109"/>
      <c r="C101" s="93"/>
      <c r="D101" s="124" t="s">
        <v>74</v>
      </c>
      <c r="E101" s="136"/>
      <c r="F101" s="136"/>
      <c r="G101" s="136"/>
      <c r="H101" s="136">
        <v>-9022753</v>
      </c>
      <c r="I101" s="136"/>
      <c r="J101" s="136"/>
      <c r="K101" s="136"/>
      <c r="L101" s="138"/>
      <c r="M101" s="141"/>
      <c r="N101" s="141"/>
      <c r="O101" s="141"/>
      <c r="P101" s="141"/>
      <c r="Q101" s="141"/>
      <c r="R101" s="141"/>
      <c r="S101" s="141"/>
      <c r="T101" s="141"/>
      <c r="U101" s="138"/>
      <c r="V101" s="138"/>
      <c r="W101" s="141"/>
      <c r="X101" s="141"/>
    </row>
    <row r="102" spans="1:24">
      <c r="A102" s="109"/>
      <c r="B102" s="109"/>
      <c r="C102" s="93"/>
      <c r="D102" s="91" t="s">
        <v>134</v>
      </c>
      <c r="E102" s="136">
        <v>-6077035</v>
      </c>
      <c r="F102" s="136">
        <v>-433296</v>
      </c>
      <c r="G102" s="136">
        <v>-69816</v>
      </c>
      <c r="H102" s="136">
        <v>-104866</v>
      </c>
      <c r="I102" s="136"/>
      <c r="J102" s="136"/>
      <c r="K102" s="136">
        <v>-772740</v>
      </c>
      <c r="L102" s="136"/>
      <c r="M102" s="136">
        <v>-243431</v>
      </c>
      <c r="N102" s="136">
        <v>-508480</v>
      </c>
      <c r="O102" s="136">
        <v>-64274</v>
      </c>
      <c r="P102" s="136">
        <f>-471433+400000</f>
        <v>-71433</v>
      </c>
      <c r="Q102" s="136">
        <v>-75105</v>
      </c>
      <c r="R102" s="136">
        <v>-269568</v>
      </c>
      <c r="S102" s="136">
        <v>-176885</v>
      </c>
      <c r="T102" s="136">
        <v>-92063</v>
      </c>
      <c r="U102" s="136">
        <v>-234769.63000000175</v>
      </c>
      <c r="V102" s="136">
        <v>-381658</v>
      </c>
      <c r="W102" s="142"/>
      <c r="X102" s="142"/>
    </row>
    <row r="103" spans="1:24">
      <c r="A103" s="109"/>
      <c r="B103" s="109"/>
      <c r="C103" s="93"/>
      <c r="D103" s="124" t="s">
        <v>72</v>
      </c>
      <c r="E103" s="136">
        <v>0</v>
      </c>
      <c r="F103" s="136">
        <v>0</v>
      </c>
      <c r="G103" s="136">
        <v>-1200000</v>
      </c>
      <c r="H103" s="136"/>
      <c r="I103" s="136"/>
      <c r="J103" s="136"/>
      <c r="K103" s="136"/>
      <c r="L103" s="138"/>
      <c r="M103" s="141"/>
      <c r="N103" s="141"/>
      <c r="O103" s="141"/>
      <c r="P103" s="141"/>
      <c r="Q103" s="141"/>
      <c r="R103" s="141"/>
      <c r="S103" s="141"/>
      <c r="T103" s="141"/>
      <c r="U103" s="138"/>
      <c r="V103" s="138"/>
      <c r="W103" s="141"/>
      <c r="X103" s="141"/>
    </row>
    <row r="104" spans="1:24">
      <c r="A104" s="109"/>
      <c r="B104" s="109"/>
      <c r="C104" s="93"/>
      <c r="D104" s="124" t="s">
        <v>73</v>
      </c>
      <c r="E104" s="136">
        <v>0</v>
      </c>
      <c r="F104" s="136">
        <v>0</v>
      </c>
      <c r="G104" s="136">
        <v>-2600000</v>
      </c>
      <c r="H104" s="136"/>
      <c r="I104" s="136"/>
      <c r="J104" s="136"/>
      <c r="K104" s="136"/>
      <c r="L104" s="138"/>
      <c r="M104" s="141"/>
      <c r="N104" s="141"/>
      <c r="O104" s="141"/>
      <c r="P104" s="141"/>
      <c r="Q104" s="141"/>
      <c r="R104" s="141"/>
      <c r="S104" s="141"/>
      <c r="T104" s="141"/>
      <c r="U104" s="138"/>
      <c r="V104" s="138"/>
      <c r="W104" s="141"/>
      <c r="X104" s="141"/>
    </row>
    <row r="105" spans="1:24">
      <c r="A105" s="109"/>
      <c r="B105" s="109"/>
      <c r="C105" s="93"/>
      <c r="D105" s="124" t="s">
        <v>75</v>
      </c>
      <c r="E105" s="136"/>
      <c r="F105" s="136"/>
      <c r="G105" s="136"/>
      <c r="H105" s="136">
        <v>-500000</v>
      </c>
      <c r="I105" s="136"/>
      <c r="J105" s="136"/>
      <c r="K105" s="136"/>
      <c r="L105" s="138"/>
      <c r="M105" s="141"/>
      <c r="N105" s="141"/>
      <c r="O105" s="141"/>
      <c r="P105" s="141"/>
      <c r="Q105" s="141"/>
      <c r="R105" s="141"/>
      <c r="S105" s="141"/>
      <c r="T105" s="141"/>
      <c r="U105" s="138"/>
      <c r="V105" s="138"/>
      <c r="W105" s="141"/>
      <c r="X105" s="141"/>
    </row>
    <row r="106" spans="1:24">
      <c r="A106" s="109"/>
      <c r="B106" s="109"/>
      <c r="C106" s="93"/>
      <c r="D106" s="124" t="s">
        <v>90</v>
      </c>
      <c r="E106" s="136">
        <v>-1790000</v>
      </c>
      <c r="F106" s="136">
        <v>-1800000</v>
      </c>
      <c r="G106" s="136"/>
      <c r="H106" s="136"/>
      <c r="I106" s="136"/>
      <c r="J106" s="136"/>
      <c r="K106" s="136"/>
      <c r="L106" s="138"/>
      <c r="M106" s="141"/>
      <c r="N106" s="141"/>
      <c r="O106" s="141"/>
      <c r="P106" s="136">
        <v>-400000</v>
      </c>
      <c r="Q106" s="136"/>
      <c r="R106" s="136"/>
      <c r="S106" s="136"/>
      <c r="T106" s="136"/>
      <c r="U106" s="136"/>
      <c r="V106" s="136"/>
      <c r="W106" s="136"/>
      <c r="X106" s="136"/>
    </row>
    <row r="107" spans="1:24">
      <c r="A107" s="109"/>
      <c r="B107" s="109"/>
      <c r="C107" s="93"/>
      <c r="D107" s="124" t="s">
        <v>47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36">
        <v>-454576</v>
      </c>
      <c r="K107" s="136">
        <v>-445513</v>
      </c>
      <c r="L107" s="136">
        <v>-431819</v>
      </c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</row>
    <row r="108" spans="1:24">
      <c r="A108" s="109"/>
      <c r="B108" s="109"/>
      <c r="C108" s="93"/>
      <c r="D108" s="124" t="s">
        <v>48</v>
      </c>
      <c r="E108" s="136">
        <v>0</v>
      </c>
      <c r="F108" s="136">
        <v>0</v>
      </c>
      <c r="G108" s="136">
        <v>0</v>
      </c>
      <c r="H108" s="136">
        <v>0</v>
      </c>
      <c r="I108" s="136">
        <v>0</v>
      </c>
      <c r="J108" s="136">
        <v>-1653117</v>
      </c>
      <c r="K108" s="136">
        <v>0</v>
      </c>
      <c r="L108" s="136">
        <f>-2849627+(78962+30142+73625)</f>
        <v>-2666898</v>
      </c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</row>
    <row r="109" spans="1:24">
      <c r="A109" s="109"/>
      <c r="B109" s="109"/>
      <c r="C109" s="93"/>
      <c r="D109" s="113" t="s">
        <v>49</v>
      </c>
      <c r="E109" s="136">
        <v>0</v>
      </c>
      <c r="F109" s="136">
        <v>0</v>
      </c>
      <c r="G109" s="136">
        <v>0</v>
      </c>
      <c r="H109" s="136">
        <v>0</v>
      </c>
      <c r="I109" s="136">
        <v>0</v>
      </c>
      <c r="J109" s="136">
        <v>-2255810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36">
        <v>0</v>
      </c>
      <c r="Q109" s="136">
        <v>0</v>
      </c>
      <c r="R109" s="136">
        <v>0</v>
      </c>
      <c r="S109" s="136">
        <v>0</v>
      </c>
      <c r="T109" s="136">
        <v>0</v>
      </c>
      <c r="U109" s="136"/>
      <c r="V109" s="136"/>
      <c r="W109" s="136"/>
      <c r="X109" s="136"/>
    </row>
    <row r="110" spans="1:24">
      <c r="A110" s="109"/>
      <c r="B110" s="109"/>
      <c r="C110" s="93"/>
      <c r="D110" s="91" t="s">
        <v>62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-7500000</v>
      </c>
      <c r="L110" s="136">
        <v>0</v>
      </c>
      <c r="M110" s="136">
        <v>0</v>
      </c>
      <c r="N110" s="136">
        <v>-411755</v>
      </c>
      <c r="O110" s="136">
        <v>-405958</v>
      </c>
      <c r="P110" s="136">
        <v>0</v>
      </c>
      <c r="Q110" s="136">
        <v>0</v>
      </c>
      <c r="R110" s="136">
        <v>0</v>
      </c>
      <c r="S110" s="136">
        <v>0</v>
      </c>
      <c r="T110" s="136">
        <v>0</v>
      </c>
      <c r="U110" s="136"/>
      <c r="V110" s="136"/>
      <c r="W110" s="136"/>
      <c r="X110" s="136"/>
    </row>
    <row r="111" spans="1:24">
      <c r="A111" s="109"/>
      <c r="B111" s="109"/>
      <c r="C111" s="93"/>
      <c r="D111" s="91" t="s">
        <v>135</v>
      </c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</row>
    <row r="112" spans="1:24">
      <c r="A112" s="109"/>
      <c r="B112" s="109"/>
      <c r="C112" s="93"/>
      <c r="D112" s="124" t="s">
        <v>86</v>
      </c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>
        <v>3101171</v>
      </c>
      <c r="P112" s="136">
        <v>0</v>
      </c>
      <c r="Q112" s="136">
        <v>0</v>
      </c>
      <c r="R112" s="136">
        <v>0</v>
      </c>
      <c r="S112" s="136">
        <v>0</v>
      </c>
      <c r="T112" s="136">
        <v>0</v>
      </c>
      <c r="U112" s="136"/>
      <c r="V112" s="136"/>
      <c r="W112" s="136"/>
      <c r="X112" s="136"/>
    </row>
    <row r="113" spans="1:24">
      <c r="A113" s="109"/>
      <c r="B113" s="109"/>
      <c r="C113" s="93"/>
      <c r="D113" s="124" t="s">
        <v>87</v>
      </c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>
        <v>750757</v>
      </c>
      <c r="P113" s="136">
        <v>0</v>
      </c>
      <c r="Q113" s="136">
        <v>0</v>
      </c>
      <c r="R113" s="136">
        <v>0</v>
      </c>
      <c r="S113" s="136">
        <v>0</v>
      </c>
      <c r="T113" s="136">
        <v>0</v>
      </c>
      <c r="U113" s="136"/>
      <c r="V113" s="136"/>
      <c r="W113" s="136"/>
      <c r="X113" s="136"/>
    </row>
    <row r="114" spans="1:24">
      <c r="A114" s="109"/>
      <c r="B114" s="109"/>
      <c r="C114" s="93"/>
      <c r="D114" s="124" t="s">
        <v>88</v>
      </c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>
        <v>390105</v>
      </c>
      <c r="P114" s="136">
        <v>0</v>
      </c>
      <c r="Q114" s="136">
        <v>0</v>
      </c>
      <c r="R114" s="136">
        <v>0</v>
      </c>
      <c r="S114" s="136">
        <v>0</v>
      </c>
      <c r="T114" s="136">
        <v>0</v>
      </c>
      <c r="U114" s="136"/>
      <c r="V114" s="136"/>
      <c r="W114" s="136"/>
      <c r="X114" s="136"/>
    </row>
    <row r="115" spans="1:24">
      <c r="A115" s="109"/>
      <c r="B115" s="109"/>
      <c r="C115" s="93"/>
      <c r="D115" s="124" t="s">
        <v>152</v>
      </c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</row>
    <row r="116" spans="1:24">
      <c r="A116" s="109"/>
      <c r="B116" s="109"/>
      <c r="C116" s="93"/>
      <c r="D116" s="124" t="s">
        <v>136</v>
      </c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>
        <v>0</v>
      </c>
      <c r="S116" s="136">
        <v>-500000</v>
      </c>
      <c r="T116" s="136">
        <v>0</v>
      </c>
      <c r="U116" s="136"/>
      <c r="V116" s="136">
        <v>-2000000</v>
      </c>
      <c r="W116" s="136"/>
      <c r="X116" s="136"/>
    </row>
    <row r="117" spans="1:24">
      <c r="A117" s="109"/>
      <c r="B117" s="109"/>
      <c r="C117" s="93"/>
      <c r="D117" s="124" t="s">
        <v>150</v>
      </c>
      <c r="E117" s="136"/>
      <c r="F117" s="136"/>
      <c r="G117" s="136"/>
      <c r="H117" s="136"/>
      <c r="I117" s="136"/>
      <c r="J117" s="136"/>
      <c r="K117" s="136"/>
      <c r="L117" s="138"/>
      <c r="M117" s="141"/>
      <c r="N117" s="141"/>
      <c r="O117" s="141"/>
      <c r="P117" s="141"/>
      <c r="Q117" s="141"/>
      <c r="R117" s="141"/>
      <c r="S117" s="141"/>
      <c r="T117" s="141"/>
      <c r="U117" s="138"/>
      <c r="V117" s="138">
        <v>-8000000</v>
      </c>
      <c r="W117" s="138">
        <v>-5000000</v>
      </c>
      <c r="X117" s="138"/>
    </row>
    <row r="118" spans="1:24">
      <c r="A118" s="109"/>
      <c r="B118" s="109"/>
      <c r="C118" s="93"/>
      <c r="D118" s="171" t="s">
        <v>159</v>
      </c>
      <c r="E118" s="136"/>
      <c r="F118" s="136"/>
      <c r="G118" s="136"/>
      <c r="H118" s="136"/>
      <c r="I118" s="136"/>
      <c r="J118" s="136"/>
      <c r="K118" s="136"/>
      <c r="L118" s="138"/>
      <c r="M118" s="141"/>
      <c r="N118" s="141"/>
      <c r="O118" s="141"/>
      <c r="P118" s="141"/>
      <c r="Q118" s="141"/>
      <c r="R118" s="141"/>
      <c r="S118" s="141"/>
      <c r="T118" s="141"/>
      <c r="U118" s="138"/>
      <c r="V118" s="138"/>
      <c r="W118" s="138">
        <v>-3000000</v>
      </c>
      <c r="X118" s="138"/>
    </row>
    <row r="119" spans="1:24">
      <c r="A119" s="109"/>
      <c r="B119" s="109"/>
      <c r="C119" s="93"/>
      <c r="D119" s="172" t="s">
        <v>160</v>
      </c>
      <c r="E119" s="136"/>
      <c r="F119" s="136"/>
      <c r="G119" s="136"/>
      <c r="H119" s="136"/>
      <c r="I119" s="136"/>
      <c r="J119" s="136"/>
      <c r="K119" s="136"/>
      <c r="L119" s="138"/>
      <c r="M119" s="141"/>
      <c r="N119" s="141"/>
      <c r="O119" s="141"/>
      <c r="P119" s="141"/>
      <c r="Q119" s="141"/>
      <c r="R119" s="141"/>
      <c r="S119" s="141"/>
      <c r="T119" s="141"/>
      <c r="U119" s="138"/>
      <c r="V119" s="138"/>
      <c r="W119" s="138">
        <v>-8700000</v>
      </c>
      <c r="X119" s="138"/>
    </row>
    <row r="120" spans="1:24">
      <c r="A120" s="109"/>
      <c r="B120" s="109"/>
      <c r="C120" s="93"/>
      <c r="D120" s="124" t="s">
        <v>149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>
        <v>0</v>
      </c>
      <c r="S120" s="136">
        <v>0</v>
      </c>
      <c r="T120" s="136">
        <v>0</v>
      </c>
      <c r="U120" s="136">
        <v>4295833.3600000003</v>
      </c>
      <c r="V120" s="136">
        <v>1500000</v>
      </c>
      <c r="W120" s="136">
        <v>750000</v>
      </c>
      <c r="X120" s="136"/>
    </row>
    <row r="121" spans="1:24">
      <c r="A121" s="109"/>
      <c r="B121" s="109"/>
      <c r="C121" s="93"/>
      <c r="D121" s="124" t="s">
        <v>140</v>
      </c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>
        <v>5872959</v>
      </c>
      <c r="V121" s="136">
        <v>8922988</v>
      </c>
      <c r="W121" s="136"/>
      <c r="X121" s="136"/>
    </row>
    <row r="122" spans="1:24">
      <c r="A122" s="109"/>
      <c r="B122" s="109"/>
      <c r="C122" s="93"/>
      <c r="D122" s="124" t="s">
        <v>141</v>
      </c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>
        <v>8913888</v>
      </c>
      <c r="V122" s="136"/>
      <c r="W122" s="136"/>
      <c r="X122" s="136"/>
    </row>
    <row r="123" spans="1:24">
      <c r="A123" s="109"/>
      <c r="B123" s="109"/>
      <c r="C123" s="93"/>
      <c r="D123" s="124" t="s">
        <v>144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>
        <v>0</v>
      </c>
      <c r="S123" s="136">
        <v>0</v>
      </c>
      <c r="T123" s="136">
        <v>0</v>
      </c>
      <c r="U123" s="136">
        <v>-8913888</v>
      </c>
      <c r="V123" s="136">
        <v>8913888</v>
      </c>
      <c r="W123" s="136"/>
      <c r="X123" s="136"/>
    </row>
    <row r="124" spans="1:24">
      <c r="A124" s="109"/>
      <c r="B124" s="109"/>
      <c r="C124" s="93"/>
      <c r="D124" s="124" t="s">
        <v>143</v>
      </c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</row>
    <row r="125" spans="1:24">
      <c r="A125" s="109"/>
      <c r="B125" s="109"/>
      <c r="C125" s="93" t="s">
        <v>50</v>
      </c>
      <c r="D125" s="124"/>
      <c r="E125" s="136">
        <f t="shared" ref="E125:Q125" si="39">SUM(E98:E114)</f>
        <v>-7867035</v>
      </c>
      <c r="F125" s="136">
        <f t="shared" si="39"/>
        <v>-2233296</v>
      </c>
      <c r="G125" s="136">
        <f t="shared" si="39"/>
        <v>-7663968</v>
      </c>
      <c r="H125" s="136">
        <f t="shared" si="39"/>
        <v>-9627619</v>
      </c>
      <c r="I125" s="136">
        <f t="shared" si="39"/>
        <v>0</v>
      </c>
      <c r="J125" s="82">
        <f t="shared" si="39"/>
        <v>-4363503</v>
      </c>
      <c r="K125" s="82">
        <f t="shared" si="39"/>
        <v>-8718253</v>
      </c>
      <c r="L125" s="82">
        <f t="shared" si="39"/>
        <v>-3098717</v>
      </c>
      <c r="M125" s="82">
        <f t="shared" si="39"/>
        <v>-243431</v>
      </c>
      <c r="N125" s="82">
        <f t="shared" si="39"/>
        <v>-920235</v>
      </c>
      <c r="O125" s="82">
        <f t="shared" si="39"/>
        <v>3771801</v>
      </c>
      <c r="P125" s="82">
        <f t="shared" si="39"/>
        <v>-471433</v>
      </c>
      <c r="Q125" s="82">
        <f t="shared" si="39"/>
        <v>-75105</v>
      </c>
      <c r="R125" s="82">
        <f t="shared" ref="R125:W125" si="40">SUM(R98:R124)</f>
        <v>-269568</v>
      </c>
      <c r="S125" s="82">
        <f t="shared" si="40"/>
        <v>-676885</v>
      </c>
      <c r="T125" s="82">
        <f t="shared" si="40"/>
        <v>-92063</v>
      </c>
      <c r="U125" s="82">
        <f t="shared" si="40"/>
        <v>9934022.7299999967</v>
      </c>
      <c r="V125" s="82">
        <f t="shared" si="40"/>
        <v>8955218</v>
      </c>
      <c r="W125" s="82">
        <f t="shared" si="40"/>
        <v>-15950000</v>
      </c>
      <c r="X125" s="82">
        <f t="shared" ref="X125" si="41">SUM(X98:X124)</f>
        <v>0</v>
      </c>
    </row>
    <row r="126" spans="1:24">
      <c r="A126" s="109"/>
      <c r="B126" s="109"/>
      <c r="C126" s="129"/>
      <c r="D126" s="124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</row>
    <row r="127" spans="1:24" ht="14.25" thickBot="1">
      <c r="A127" s="109"/>
      <c r="B127" s="109"/>
      <c r="C127" s="89" t="s">
        <v>51</v>
      </c>
      <c r="D127" s="124"/>
      <c r="E127" s="122">
        <f t="shared" ref="E127:R127" si="42">E78+E95+E125</f>
        <v>1514131</v>
      </c>
      <c r="F127" s="122">
        <f t="shared" si="42"/>
        <v>7139454</v>
      </c>
      <c r="G127" s="122">
        <f t="shared" si="42"/>
        <v>130552</v>
      </c>
      <c r="H127" s="122">
        <f t="shared" si="42"/>
        <v>483903</v>
      </c>
      <c r="I127" s="122">
        <f t="shared" si="42"/>
        <v>2566453</v>
      </c>
      <c r="J127" s="122">
        <f t="shared" si="42"/>
        <v>854485</v>
      </c>
      <c r="K127" s="122">
        <f t="shared" si="42"/>
        <v>1825036</v>
      </c>
      <c r="L127" s="122">
        <f t="shared" si="42"/>
        <v>1481911.5</v>
      </c>
      <c r="M127" s="122">
        <f t="shared" si="42"/>
        <v>0</v>
      </c>
      <c r="N127" s="122">
        <f t="shared" si="42"/>
        <v>1315582</v>
      </c>
      <c r="O127" s="122">
        <f t="shared" si="42"/>
        <v>1674199</v>
      </c>
      <c r="P127" s="122">
        <f t="shared" si="42"/>
        <v>1184184.1699999869</v>
      </c>
      <c r="Q127" s="122">
        <f t="shared" si="42"/>
        <v>804834</v>
      </c>
      <c r="R127" s="122">
        <f t="shared" si="42"/>
        <v>352146</v>
      </c>
      <c r="S127" s="122">
        <f>(S78+S95+S125)-1</f>
        <v>2614063</v>
      </c>
      <c r="T127" s="122">
        <f>(T78+T95+T125)-1</f>
        <v>238624</v>
      </c>
      <c r="U127" s="122">
        <f>(U78+U95+U125)</f>
        <v>-0.279999990016222</v>
      </c>
      <c r="V127" s="122">
        <f>(V78+V95+V125)</f>
        <v>4947005</v>
      </c>
      <c r="W127" s="122">
        <f>W78+W95+W125</f>
        <v>10928284</v>
      </c>
      <c r="X127" s="122">
        <f>X78+X95+X125</f>
        <v>13496344</v>
      </c>
    </row>
    <row r="128" spans="1:24" ht="14.25" thickTop="1">
      <c r="A128" s="109"/>
      <c r="B128" s="109"/>
      <c r="C128" s="89"/>
      <c r="D128" s="124"/>
      <c r="E128" s="124"/>
      <c r="F128" s="124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24">
      <c r="A129" s="109"/>
      <c r="B129" s="109"/>
      <c r="C129" s="89"/>
      <c r="D129" s="176" t="s">
        <v>121</v>
      </c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43"/>
    </row>
    <row r="130" spans="1:24">
      <c r="A130" s="109"/>
      <c r="B130" s="109"/>
      <c r="C130" s="8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43"/>
    </row>
    <row r="131" spans="1:24">
      <c r="A131" s="109"/>
      <c r="B131" s="109"/>
      <c r="C131" s="109"/>
      <c r="D131" s="175" t="s">
        <v>146</v>
      </c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</row>
    <row r="132" spans="1:24">
      <c r="A132" s="109"/>
      <c r="B132" s="109"/>
      <c r="C132" s="109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70"/>
    </row>
    <row r="133" spans="1:24">
      <c r="A133" s="109"/>
      <c r="B133" s="109"/>
      <c r="C133" s="89"/>
      <c r="D133" s="173" t="s">
        <v>153</v>
      </c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56"/>
    </row>
    <row r="134" spans="1:24">
      <c r="A134" s="109"/>
      <c r="B134" s="109"/>
      <c r="C134" s="89"/>
      <c r="D134" s="166" t="s">
        <v>154</v>
      </c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69"/>
    </row>
    <row r="135" spans="1:24">
      <c r="A135" s="109"/>
      <c r="B135" s="109"/>
      <c r="C135" s="109"/>
      <c r="D135" s="109" t="s">
        <v>161</v>
      </c>
      <c r="E135" s="109"/>
      <c r="F135" s="109"/>
      <c r="G135" s="124"/>
      <c r="H135" s="124"/>
      <c r="I135" s="124"/>
      <c r="J135" s="124"/>
      <c r="K135" s="124"/>
    </row>
    <row r="136" spans="1:24">
      <c r="A136" s="109"/>
      <c r="B136" s="109"/>
      <c r="C136" s="109"/>
      <c r="D136" s="109" t="s">
        <v>162</v>
      </c>
      <c r="E136" s="109"/>
      <c r="F136" s="109"/>
      <c r="G136" s="124"/>
      <c r="H136" s="124"/>
      <c r="I136" s="124"/>
      <c r="J136" s="124"/>
      <c r="K136" s="124"/>
    </row>
    <row r="137" spans="1:24">
      <c r="D137" s="91" t="s">
        <v>163</v>
      </c>
      <c r="G137" s="124"/>
      <c r="H137" s="124"/>
      <c r="I137" s="124"/>
      <c r="J137" s="124"/>
      <c r="K137" s="124"/>
    </row>
    <row r="138" spans="1:24">
      <c r="G138" s="124"/>
      <c r="H138" s="124"/>
      <c r="I138" s="124"/>
      <c r="J138" s="124"/>
      <c r="K138" s="124"/>
    </row>
    <row r="139" spans="1:24">
      <c r="G139" s="124"/>
      <c r="H139" s="124"/>
      <c r="I139" s="124"/>
      <c r="J139" s="124"/>
      <c r="K139" s="124"/>
    </row>
    <row r="140" spans="1:24">
      <c r="G140" s="124"/>
      <c r="H140" s="124"/>
      <c r="I140" s="124"/>
      <c r="J140" s="124"/>
      <c r="K140" s="124"/>
    </row>
    <row r="141" spans="1:24">
      <c r="G141" s="124"/>
      <c r="H141" s="124"/>
      <c r="I141" s="124"/>
      <c r="J141" s="124"/>
      <c r="K141" s="124"/>
    </row>
    <row r="142" spans="1:24">
      <c r="G142" s="124"/>
      <c r="H142" s="124"/>
      <c r="I142" s="124"/>
      <c r="J142" s="124"/>
      <c r="K142" s="124"/>
    </row>
    <row r="143" spans="1:24">
      <c r="G143" s="124"/>
      <c r="H143" s="124"/>
      <c r="I143" s="124"/>
      <c r="J143" s="124"/>
      <c r="K143" s="124"/>
    </row>
    <row r="144" spans="1:24">
      <c r="G144" s="124"/>
      <c r="H144" s="124"/>
      <c r="I144" s="124"/>
      <c r="J144" s="124"/>
      <c r="K144" s="124"/>
    </row>
    <row r="145" spans="7:11">
      <c r="G145" s="124"/>
      <c r="H145" s="124"/>
      <c r="I145" s="124"/>
      <c r="J145" s="124"/>
      <c r="K145" s="124"/>
    </row>
    <row r="146" spans="7:11">
      <c r="G146" s="124"/>
      <c r="H146" s="124"/>
      <c r="I146" s="124"/>
      <c r="J146" s="124"/>
      <c r="K146" s="124"/>
    </row>
    <row r="147" spans="7:11">
      <c r="G147" s="124"/>
      <c r="H147" s="124"/>
      <c r="I147" s="124"/>
      <c r="J147" s="124"/>
      <c r="K147" s="124"/>
    </row>
    <row r="148" spans="7:11">
      <c r="G148" s="124"/>
      <c r="H148" s="124"/>
      <c r="I148" s="124"/>
      <c r="J148" s="124"/>
      <c r="K148" s="124"/>
    </row>
    <row r="149" spans="7:11">
      <c r="G149" s="124"/>
      <c r="H149" s="124"/>
      <c r="I149" s="124"/>
      <c r="J149" s="124"/>
      <c r="K149" s="124"/>
    </row>
    <row r="150" spans="7:11">
      <c r="G150" s="124"/>
      <c r="H150" s="124"/>
      <c r="I150" s="124"/>
      <c r="J150" s="124"/>
      <c r="K150" s="124"/>
    </row>
    <row r="151" spans="7:11">
      <c r="G151" s="124"/>
      <c r="H151" s="124"/>
      <c r="I151" s="124"/>
      <c r="J151" s="124"/>
      <c r="K151" s="124"/>
    </row>
    <row r="152" spans="7:11">
      <c r="G152" s="124"/>
      <c r="H152" s="124"/>
      <c r="I152" s="124"/>
      <c r="J152" s="124"/>
      <c r="K152" s="124"/>
    </row>
  </sheetData>
  <mergeCells count="4">
    <mergeCell ref="D133:W133"/>
    <mergeCell ref="D131:W131"/>
    <mergeCell ref="D129:O129"/>
    <mergeCell ref="W2:X2"/>
  </mergeCells>
  <printOptions horizontalCentered="1"/>
  <pageMargins left="0.25" right="0.25" top="0.75" bottom="0.75" header="0.3" footer="0.3"/>
  <pageSetup paperSize="17" scale="83" fitToHeight="0" orientation="landscape" r:id="rId1"/>
  <rowBreaks count="2" manualBreakCount="2">
    <brk id="56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0"/>
  <sheetViews>
    <sheetView showGridLines="0" topLeftCell="A16" workbookViewId="0">
      <pane xSplit="4" topLeftCell="J1" activePane="topRight" state="frozen"/>
      <selection activeCell="W28" sqref="V28:W28"/>
      <selection pane="topRight" activeCell="W28" sqref="V28:W28"/>
    </sheetView>
  </sheetViews>
  <sheetFormatPr defaultColWidth="9.1328125" defaultRowHeight="15.4" outlineLevelCol="1"/>
  <cols>
    <col min="1" max="1" width="10" style="21" hidden="1" customWidth="1"/>
    <col min="2" max="2" width="1.1328125" style="21" customWidth="1"/>
    <col min="3" max="3" width="2.6640625" style="21" customWidth="1"/>
    <col min="4" max="4" width="52.33203125" style="21" customWidth="1"/>
    <col min="5" max="5" width="16.1328125" style="21" hidden="1" customWidth="1" outlineLevel="1"/>
    <col min="6" max="9" width="13.33203125" style="21" hidden="1" customWidth="1" outlineLevel="1"/>
    <col min="10" max="10" width="13.33203125" style="21" customWidth="1" collapsed="1"/>
    <col min="11" max="12" width="13.33203125" style="21" customWidth="1"/>
    <col min="13" max="13" width="14" style="21" bestFit="1" customWidth="1"/>
    <col min="14" max="14" width="13.6640625" style="21" customWidth="1"/>
    <col min="15" max="21" width="14" style="21" bestFit="1" customWidth="1"/>
    <col min="22" max="22" width="14" style="21" customWidth="1"/>
    <col min="23" max="23" width="16.46484375" style="21" bestFit="1" customWidth="1"/>
    <col min="24" max="16384" width="9.1328125" style="21"/>
  </cols>
  <sheetData>
    <row r="1" spans="1:23">
      <c r="A1" s="18" t="s">
        <v>0</v>
      </c>
      <c r="B1" s="18"/>
      <c r="C1" s="18"/>
      <c r="D1" s="19"/>
      <c r="E1" s="2"/>
      <c r="F1" s="2"/>
      <c r="G1" s="2"/>
      <c r="H1" s="2"/>
      <c r="I1" s="2"/>
      <c r="J1" s="2"/>
      <c r="K1" s="2"/>
      <c r="L1" s="20"/>
    </row>
    <row r="2" spans="1:23">
      <c r="A2" s="22"/>
      <c r="B2" s="22"/>
      <c r="C2" s="22"/>
      <c r="D2" s="22" t="s">
        <v>122</v>
      </c>
      <c r="E2" s="2"/>
      <c r="F2" s="2"/>
      <c r="G2" s="2"/>
      <c r="H2" s="2"/>
      <c r="I2" s="2"/>
      <c r="J2" s="2"/>
      <c r="K2" s="2"/>
      <c r="M2" s="23"/>
      <c r="N2" s="23"/>
      <c r="O2" s="23"/>
    </row>
    <row r="3" spans="1:23" ht="36.75" customHeight="1">
      <c r="A3" s="24"/>
      <c r="B3" s="25" t="s">
        <v>147</v>
      </c>
      <c r="C3" s="24"/>
      <c r="D3" s="26"/>
      <c r="E3" s="27"/>
      <c r="F3" s="27"/>
      <c r="G3" s="27"/>
      <c r="H3" s="27"/>
      <c r="I3" s="27"/>
      <c r="J3" s="27"/>
      <c r="K3" s="27"/>
      <c r="M3" s="23"/>
      <c r="N3" s="23"/>
      <c r="O3" s="23"/>
      <c r="P3" s="28"/>
      <c r="W3" s="157" t="str">
        <f>+'SP Review'!W3</f>
        <v>FY24 Spending Plan           (as of 5/19/23)</v>
      </c>
    </row>
    <row r="4" spans="1:23">
      <c r="A4" s="29"/>
      <c r="B4" s="29"/>
      <c r="C4" s="29"/>
      <c r="E4" s="30" t="s">
        <v>91</v>
      </c>
      <c r="F4" s="30" t="s">
        <v>89</v>
      </c>
      <c r="G4" s="30" t="s">
        <v>63</v>
      </c>
      <c r="H4" s="30" t="s">
        <v>64</v>
      </c>
      <c r="I4" s="30" t="s">
        <v>58</v>
      </c>
      <c r="J4" s="30" t="s">
        <v>54</v>
      </c>
      <c r="K4" s="30" t="s">
        <v>55</v>
      </c>
      <c r="L4" s="30" t="s">
        <v>76</v>
      </c>
      <c r="M4" s="31" t="s">
        <v>77</v>
      </c>
      <c r="N4" s="31" t="s">
        <v>83</v>
      </c>
      <c r="O4" s="31" t="s">
        <v>84</v>
      </c>
      <c r="P4" s="31" t="s">
        <v>85</v>
      </c>
      <c r="Q4" s="31" t="s">
        <v>93</v>
      </c>
      <c r="R4" s="31" t="s">
        <v>123</v>
      </c>
      <c r="S4" s="31" t="s">
        <v>126</v>
      </c>
      <c r="T4" s="31" t="s">
        <v>127</v>
      </c>
      <c r="U4" s="31" t="s">
        <v>137</v>
      </c>
      <c r="V4" s="31" t="s">
        <v>142</v>
      </c>
      <c r="W4" s="31" t="s">
        <v>151</v>
      </c>
    </row>
    <row r="5" spans="1:23">
      <c r="A5" s="29"/>
      <c r="B5" s="29"/>
      <c r="C5" s="29"/>
      <c r="D5" s="32" t="s">
        <v>1</v>
      </c>
      <c r="E5" s="33" t="s">
        <v>59</v>
      </c>
      <c r="F5" s="33" t="s">
        <v>59</v>
      </c>
      <c r="G5" s="33" t="s">
        <v>59</v>
      </c>
      <c r="H5" s="33" t="s">
        <v>59</v>
      </c>
      <c r="I5" s="33" t="s">
        <v>59</v>
      </c>
      <c r="J5" s="33" t="s">
        <v>59</v>
      </c>
      <c r="K5" s="33" t="s">
        <v>59</v>
      </c>
      <c r="L5" s="33" t="s">
        <v>59</v>
      </c>
      <c r="M5" s="31" t="s">
        <v>59</v>
      </c>
      <c r="N5" s="31" t="s">
        <v>59</v>
      </c>
      <c r="O5" s="31" t="s">
        <v>59</v>
      </c>
      <c r="P5" s="31" t="s">
        <v>59</v>
      </c>
      <c r="Q5" s="31" t="s">
        <v>59</v>
      </c>
      <c r="R5" s="31" t="s">
        <v>59</v>
      </c>
      <c r="S5" s="31" t="s">
        <v>59</v>
      </c>
      <c r="T5" s="31" t="s">
        <v>59</v>
      </c>
      <c r="U5" s="31" t="s">
        <v>59</v>
      </c>
      <c r="V5" s="31" t="s">
        <v>59</v>
      </c>
      <c r="W5" s="31" t="s">
        <v>61</v>
      </c>
    </row>
    <row r="6" spans="1:23" ht="5.25" customHeight="1">
      <c r="A6" s="29"/>
      <c r="B6" s="29"/>
      <c r="C6" s="29"/>
      <c r="D6" s="32"/>
      <c r="E6" s="33"/>
      <c r="F6" s="33"/>
      <c r="G6" s="33"/>
      <c r="H6" s="33"/>
      <c r="I6" s="33"/>
      <c r="J6" s="33"/>
      <c r="K6" s="33"/>
    </row>
    <row r="7" spans="1:23">
      <c r="A7" s="34"/>
      <c r="B7" s="34"/>
      <c r="C7" s="22" t="s">
        <v>2</v>
      </c>
      <c r="D7" s="34"/>
      <c r="E7" s="35"/>
      <c r="F7" s="35"/>
      <c r="G7" s="35"/>
      <c r="H7" s="35"/>
      <c r="I7" s="35"/>
      <c r="J7" s="35"/>
      <c r="K7" s="35"/>
    </row>
    <row r="8" spans="1:23">
      <c r="A8" s="34"/>
      <c r="B8" s="34"/>
      <c r="C8" s="34"/>
      <c r="D8" s="36" t="s">
        <v>3</v>
      </c>
      <c r="E8" s="8">
        <v>24649082</v>
      </c>
      <c r="F8" s="8">
        <v>26454389</v>
      </c>
      <c r="G8" s="8">
        <v>27825417</v>
      </c>
      <c r="H8" s="8">
        <v>29824407</v>
      </c>
      <c r="I8" s="8">
        <v>31388934</v>
      </c>
      <c r="J8" s="8">
        <v>34362431</v>
      </c>
      <c r="K8" s="3">
        <v>36852448</v>
      </c>
      <c r="L8" s="44">
        <f>46081445-L9</f>
        <v>36904489</v>
      </c>
      <c r="M8" s="3">
        <v>37852061</v>
      </c>
      <c r="N8" s="6">
        <v>39505079</v>
      </c>
      <c r="O8" s="6">
        <v>40555139</v>
      </c>
      <c r="P8" s="6">
        <v>43614832.200000003</v>
      </c>
      <c r="Q8" s="45">
        <v>45417596</v>
      </c>
      <c r="R8" s="45">
        <v>46895432</v>
      </c>
      <c r="S8" s="45">
        <v>47167950</v>
      </c>
      <c r="T8" s="45">
        <v>47184211</v>
      </c>
      <c r="U8" s="45">
        <v>45306490.700000003</v>
      </c>
      <c r="V8" s="45">
        <f>+'SP Review'!V8</f>
        <v>41416746</v>
      </c>
      <c r="W8" s="45">
        <f>+'SP Review'!W8</f>
        <v>42700045</v>
      </c>
    </row>
    <row r="9" spans="1:23">
      <c r="A9" s="34"/>
      <c r="B9" s="34"/>
      <c r="C9" s="34"/>
      <c r="D9" s="36" t="s">
        <v>4</v>
      </c>
      <c r="E9" s="46"/>
      <c r="F9" s="46"/>
      <c r="G9" s="46"/>
      <c r="H9" s="46"/>
      <c r="I9" s="46">
        <f>(21420505+1295085)*0.335</f>
        <v>7609722.6500000004</v>
      </c>
      <c r="J9" s="46">
        <v>8280828</v>
      </c>
      <c r="K9" s="47">
        <v>8702614</v>
      </c>
      <c r="L9" s="48">
        <v>9176956</v>
      </c>
      <c r="M9" s="47">
        <v>9193340</v>
      </c>
      <c r="N9" s="49">
        <v>9674074</v>
      </c>
      <c r="O9" s="49">
        <v>10185310</v>
      </c>
      <c r="P9" s="49">
        <v>11480040.199999999</v>
      </c>
      <c r="Q9" s="50">
        <v>11520941</v>
      </c>
      <c r="R9" s="50">
        <v>12455942</v>
      </c>
      <c r="S9" s="50">
        <v>13016668</v>
      </c>
      <c r="T9" s="50">
        <v>13009738</v>
      </c>
      <c r="U9" s="50">
        <v>13023672</v>
      </c>
      <c r="V9" s="50">
        <f>+'SP Review'!V9</f>
        <v>12382960</v>
      </c>
      <c r="W9" s="50">
        <f>+'SP Review'!W9</f>
        <v>12872255</v>
      </c>
    </row>
    <row r="10" spans="1:23">
      <c r="A10" s="34"/>
      <c r="B10" s="34"/>
      <c r="C10" s="34"/>
      <c r="D10" s="36" t="s">
        <v>5</v>
      </c>
      <c r="E10" s="46"/>
      <c r="F10" s="46"/>
      <c r="G10" s="46"/>
      <c r="H10" s="46"/>
      <c r="I10" s="46">
        <f>(21420505+1295085)*0.325</f>
        <v>7382566.75</v>
      </c>
      <c r="J10" s="46">
        <v>8060231</v>
      </c>
      <c r="K10" s="47">
        <v>8435544</v>
      </c>
      <c r="L10" s="48">
        <v>8969465</v>
      </c>
      <c r="M10" s="47">
        <v>8984341</v>
      </c>
      <c r="N10" s="49">
        <v>9268010</v>
      </c>
      <c r="O10" s="49">
        <v>9724356</v>
      </c>
      <c r="P10" s="49">
        <v>10911749</v>
      </c>
      <c r="Q10" s="50">
        <v>11031605</v>
      </c>
      <c r="R10" s="50">
        <v>11631139</v>
      </c>
      <c r="S10" s="50">
        <v>12148801</v>
      </c>
      <c r="T10" s="50">
        <v>11975616</v>
      </c>
      <c r="U10" s="50">
        <v>12040612.6</v>
      </c>
      <c r="V10" s="50">
        <f>+'SP Review'!V10</f>
        <v>11324885</v>
      </c>
      <c r="W10" s="50">
        <f>+'SP Review'!W10</f>
        <v>11715208</v>
      </c>
    </row>
    <row r="11" spans="1:23">
      <c r="A11" s="34"/>
      <c r="B11" s="34"/>
      <c r="C11" s="34"/>
      <c r="D11" s="36" t="s">
        <v>94</v>
      </c>
      <c r="E11" s="46">
        <v>15576864</v>
      </c>
      <c r="F11" s="46">
        <v>16055218</v>
      </c>
      <c r="G11" s="46">
        <f>14604000+2188685</f>
        <v>16792685</v>
      </c>
      <c r="H11" s="46">
        <f>15634543+2221413</f>
        <v>17855956</v>
      </c>
      <c r="I11" s="46">
        <f>16502549+2232074</f>
        <v>18734623</v>
      </c>
      <c r="J11" s="46">
        <v>19537962</v>
      </c>
      <c r="K11" s="47">
        <v>20801587</v>
      </c>
      <c r="L11" s="48">
        <f>(29631032-L10)+111.5</f>
        <v>20661678.5</v>
      </c>
      <c r="M11" s="47">
        <v>20929802</v>
      </c>
      <c r="N11" s="49">
        <v>21627389</v>
      </c>
      <c r="O11" s="49">
        <v>22233691</v>
      </c>
      <c r="P11" s="49">
        <v>23433328.98</v>
      </c>
      <c r="Q11" s="50">
        <v>26409817</v>
      </c>
      <c r="R11" s="50">
        <v>28193806</v>
      </c>
      <c r="S11" s="50">
        <v>29185482</v>
      </c>
      <c r="T11" s="50">
        <v>29026138</v>
      </c>
      <c r="U11" s="50">
        <v>28071254.690000001</v>
      </c>
      <c r="V11" s="50">
        <f>+'SP Review'!V11</f>
        <v>25533658</v>
      </c>
      <c r="W11" s="50">
        <f>+'SP Review'!W11</f>
        <v>26886000</v>
      </c>
    </row>
    <row r="12" spans="1:23">
      <c r="A12" s="34"/>
      <c r="B12" s="34"/>
      <c r="C12" s="34"/>
      <c r="D12" s="36" t="s">
        <v>6</v>
      </c>
      <c r="E12" s="46">
        <v>6202911</v>
      </c>
      <c r="F12" s="46">
        <v>6519052</v>
      </c>
      <c r="G12" s="46">
        <v>6760248</v>
      </c>
      <c r="H12" s="46">
        <v>7162631</v>
      </c>
      <c r="I12" s="46">
        <v>7456178</v>
      </c>
      <c r="J12" s="46">
        <v>7938704</v>
      </c>
      <c r="K12" s="47">
        <v>8166248</v>
      </c>
      <c r="L12" s="48">
        <f>8240943</f>
        <v>8240943</v>
      </c>
      <c r="M12" s="47">
        <v>8430727</v>
      </c>
      <c r="N12" s="49">
        <v>8568132</v>
      </c>
      <c r="O12" s="49">
        <v>8809013</v>
      </c>
      <c r="P12" s="49">
        <v>7003550.0499999998</v>
      </c>
      <c r="Q12" s="50">
        <v>7143958</v>
      </c>
      <c r="R12" s="50">
        <v>7367797</v>
      </c>
      <c r="S12" s="50">
        <v>7392482</v>
      </c>
      <c r="T12" s="50">
        <v>7016409</v>
      </c>
      <c r="U12" s="50">
        <v>6636949.0999999996</v>
      </c>
      <c r="V12" s="50">
        <f>+'SP Review'!V12</f>
        <v>6053770</v>
      </c>
      <c r="W12" s="50">
        <f>+'SP Review'!W12</f>
        <v>6126000</v>
      </c>
    </row>
    <row r="13" spans="1:23">
      <c r="A13" s="34"/>
      <c r="B13" s="34"/>
      <c r="C13" s="34"/>
      <c r="D13" s="36" t="s">
        <v>52</v>
      </c>
      <c r="E13" s="46">
        <v>19702930</v>
      </c>
      <c r="F13" s="46">
        <v>19674932</v>
      </c>
      <c r="G13" s="46">
        <v>20304687</v>
      </c>
      <c r="H13" s="46">
        <v>21040492</v>
      </c>
      <c r="I13" s="46">
        <f>(21420505+1295085)*0.34</f>
        <v>7723300.6000000006</v>
      </c>
      <c r="J13" s="46">
        <v>8361264</v>
      </c>
      <c r="K13" s="47">
        <v>9059459</v>
      </c>
      <c r="L13" s="48">
        <f>6579080+(2397984-118910)</f>
        <v>8858154</v>
      </c>
      <c r="M13" s="47">
        <v>8667601</v>
      </c>
      <c r="N13" s="49">
        <v>9236918</v>
      </c>
      <c r="O13" s="49">
        <v>8938319</v>
      </c>
      <c r="P13" s="49">
        <v>9303215.8000000007</v>
      </c>
      <c r="Q13" s="50">
        <v>10048534</v>
      </c>
      <c r="R13" s="50">
        <v>10424599</v>
      </c>
      <c r="S13" s="50">
        <v>10983010</v>
      </c>
      <c r="T13" s="50">
        <v>11893976</v>
      </c>
      <c r="U13" s="50">
        <v>10010738.800000001</v>
      </c>
      <c r="V13" s="50">
        <f>+'SP Review'!V13</f>
        <v>10291407</v>
      </c>
      <c r="W13" s="50">
        <f>+'SP Review'!W13</f>
        <v>10377172</v>
      </c>
    </row>
    <row r="14" spans="1:23">
      <c r="C14" s="34"/>
      <c r="D14" s="36" t="s">
        <v>7</v>
      </c>
      <c r="E14" s="46">
        <v>2663701</v>
      </c>
      <c r="F14" s="46">
        <v>2626659</v>
      </c>
      <c r="G14" s="46">
        <v>2790854</v>
      </c>
      <c r="H14" s="46">
        <v>2992696</v>
      </c>
      <c r="I14" s="46"/>
      <c r="J14" s="46">
        <v>3397760</v>
      </c>
      <c r="K14" s="47">
        <v>3263531</v>
      </c>
      <c r="L14" s="48">
        <f>1896911+(1325405+1862)+118910</f>
        <v>3343088</v>
      </c>
      <c r="M14" s="47">
        <v>3550803</v>
      </c>
      <c r="N14" s="49">
        <v>3528456</v>
      </c>
      <c r="O14" s="49">
        <v>3313759</v>
      </c>
      <c r="P14" s="49">
        <v>3349299</v>
      </c>
      <c r="Q14" s="50">
        <v>3377713</v>
      </c>
      <c r="R14" s="50">
        <v>2563521</v>
      </c>
      <c r="S14" s="50">
        <v>2601445</v>
      </c>
      <c r="T14" s="50">
        <v>2479322</v>
      </c>
      <c r="U14" s="50">
        <v>2323356.7800000003</v>
      </c>
      <c r="V14" s="50">
        <f>+'SP Review'!V14</f>
        <v>2072133</v>
      </c>
      <c r="W14" s="50">
        <f>+'SP Review'!W14</f>
        <v>2102503</v>
      </c>
    </row>
    <row r="15" spans="1:23">
      <c r="C15" s="34"/>
      <c r="D15" s="36" t="s">
        <v>8</v>
      </c>
      <c r="E15" s="46">
        <v>883148</v>
      </c>
      <c r="F15" s="46">
        <v>990014</v>
      </c>
      <c r="G15" s="46">
        <v>1130401</v>
      </c>
      <c r="H15" s="46">
        <v>1322584</v>
      </c>
      <c r="I15" s="46">
        <v>1532557</v>
      </c>
      <c r="J15" s="46">
        <v>1799024</v>
      </c>
      <c r="K15" s="47">
        <v>1879213</v>
      </c>
      <c r="L15" s="48">
        <v>2024478</v>
      </c>
      <c r="M15" s="47">
        <v>1939911</v>
      </c>
      <c r="N15" s="49">
        <v>2061530</v>
      </c>
      <c r="O15" s="49">
        <v>2113652</v>
      </c>
      <c r="P15" s="49">
        <v>2817331.93</v>
      </c>
      <c r="Q15" s="50">
        <v>1028989</v>
      </c>
      <c r="R15" s="50">
        <v>562882</v>
      </c>
      <c r="S15" s="50">
        <v>0</v>
      </c>
      <c r="T15" s="50">
        <v>0</v>
      </c>
      <c r="U15" s="50">
        <v>0</v>
      </c>
      <c r="V15" s="50">
        <f>+'SP Review'!V15</f>
        <v>0</v>
      </c>
      <c r="W15" s="50">
        <f>+'SP Review'!W15</f>
        <v>0</v>
      </c>
    </row>
    <row r="16" spans="1:23">
      <c r="C16" s="34"/>
      <c r="D16" s="36" t="s">
        <v>65</v>
      </c>
      <c r="E16" s="46">
        <v>783804</v>
      </c>
      <c r="F16" s="46">
        <v>855730</v>
      </c>
      <c r="G16" s="46">
        <v>990327</v>
      </c>
      <c r="H16" s="46">
        <v>1130006</v>
      </c>
      <c r="I16" s="46"/>
      <c r="J16" s="46"/>
      <c r="K16" s="47"/>
      <c r="L16" s="47"/>
      <c r="M16" s="51"/>
      <c r="N16" s="51"/>
      <c r="O16" s="51"/>
      <c r="P16" s="51"/>
      <c r="Q16" s="51"/>
      <c r="R16" s="51"/>
      <c r="S16" s="50">
        <v>0</v>
      </c>
      <c r="T16" s="50">
        <v>0</v>
      </c>
      <c r="U16" s="50">
        <v>0</v>
      </c>
      <c r="V16" s="50">
        <f>+'SP Review'!V16</f>
        <v>0</v>
      </c>
      <c r="W16" s="50">
        <f>+'SP Review'!W16</f>
        <v>0</v>
      </c>
    </row>
    <row r="17" spans="3:24">
      <c r="C17" s="34"/>
      <c r="D17" s="36" t="s">
        <v>9</v>
      </c>
      <c r="E17" s="46">
        <v>296832</v>
      </c>
      <c r="F17" s="46">
        <v>307671</v>
      </c>
      <c r="G17" s="46">
        <v>334503</v>
      </c>
      <c r="H17" s="46">
        <v>341341</v>
      </c>
      <c r="I17" s="46">
        <v>329828</v>
      </c>
      <c r="J17" s="46">
        <v>343614</v>
      </c>
      <c r="K17" s="47">
        <v>337245</v>
      </c>
      <c r="L17" s="48">
        <f>325680</f>
        <v>325680</v>
      </c>
      <c r="M17" s="47">
        <v>319644</v>
      </c>
      <c r="N17" s="49">
        <v>316136</v>
      </c>
      <c r="O17" s="49">
        <v>326764</v>
      </c>
      <c r="P17" s="49">
        <v>363748</v>
      </c>
      <c r="Q17" s="50">
        <v>350824</v>
      </c>
      <c r="R17" s="50">
        <v>0</v>
      </c>
      <c r="S17" s="50">
        <v>0</v>
      </c>
      <c r="T17" s="50">
        <v>0</v>
      </c>
      <c r="U17" s="50">
        <v>0</v>
      </c>
      <c r="V17" s="50">
        <f>+'SP Review'!V17</f>
        <v>0</v>
      </c>
      <c r="W17" s="50">
        <f>+'SP Review'!W17</f>
        <v>0</v>
      </c>
    </row>
    <row r="18" spans="3:24">
      <c r="C18" s="34"/>
      <c r="D18" s="11" t="s">
        <v>95</v>
      </c>
      <c r="E18" s="158">
        <f>SUM(E8:E17)</f>
        <v>70759272</v>
      </c>
      <c r="F18" s="158">
        <f>SUM(F8:F17)</f>
        <v>73483665</v>
      </c>
      <c r="G18" s="158">
        <f>SUM(G8:G17)</f>
        <v>76929122</v>
      </c>
      <c r="H18" s="158">
        <f>SUM(H8:H17)</f>
        <v>81670113</v>
      </c>
      <c r="I18" s="158">
        <f t="shared" ref="I18:O18" si="0">SUM(I8:I17)</f>
        <v>82157710</v>
      </c>
      <c r="J18" s="158">
        <f>SUM(J8:J17)</f>
        <v>92081818</v>
      </c>
      <c r="K18" s="158">
        <f t="shared" si="0"/>
        <v>97497889</v>
      </c>
      <c r="L18" s="158">
        <f t="shared" si="0"/>
        <v>98504931.5</v>
      </c>
      <c r="M18" s="158">
        <f>SUM(M8:M17)</f>
        <v>99868230</v>
      </c>
      <c r="N18" s="158">
        <f t="shared" si="0"/>
        <v>103785724</v>
      </c>
      <c r="O18" s="158">
        <f t="shared" si="0"/>
        <v>106200003</v>
      </c>
      <c r="P18" s="158">
        <f>SUM(P8:P17)</f>
        <v>112277095.16000001</v>
      </c>
      <c r="Q18" s="158">
        <f t="shared" ref="Q18:W18" si="1">SUM(Q8:Q17)</f>
        <v>116329977</v>
      </c>
      <c r="R18" s="158">
        <f>SUM(R8:R17)</f>
        <v>120095118</v>
      </c>
      <c r="S18" s="158">
        <f t="shared" si="1"/>
        <v>122495838</v>
      </c>
      <c r="T18" s="158">
        <f>SUM(T8:T17)</f>
        <v>122585410</v>
      </c>
      <c r="U18" s="158">
        <f>SUM(U8:U17)</f>
        <v>117413074.66999999</v>
      </c>
      <c r="V18" s="158">
        <f>SUM(V8:V17)</f>
        <v>109075559</v>
      </c>
      <c r="W18" s="158">
        <f t="shared" si="1"/>
        <v>112779183</v>
      </c>
    </row>
    <row r="19" spans="3:24">
      <c r="C19" s="34"/>
      <c r="D19" s="11" t="s">
        <v>96</v>
      </c>
      <c r="E19" s="159">
        <v>41647073</v>
      </c>
      <c r="F19" s="159">
        <v>44275092</v>
      </c>
      <c r="G19" s="159">
        <v>46308994</v>
      </c>
      <c r="H19" s="159">
        <v>48738356</v>
      </c>
      <c r="I19" s="159">
        <v>47979267</v>
      </c>
      <c r="J19" s="159">
        <v>46625017</v>
      </c>
      <c r="K19" s="158">
        <v>46486725</v>
      </c>
      <c r="L19" s="160">
        <f>41772165-1348803</f>
        <v>40423362</v>
      </c>
      <c r="M19" s="158">
        <v>38658317</v>
      </c>
      <c r="N19" s="161">
        <v>43108205</v>
      </c>
      <c r="O19" s="161">
        <v>43503420</v>
      </c>
      <c r="P19" s="161">
        <v>46482651</v>
      </c>
      <c r="Q19" s="162">
        <v>42397229</v>
      </c>
      <c r="R19" s="162">
        <f>37933774+983831</f>
        <v>38917605</v>
      </c>
      <c r="S19" s="162">
        <f>41259809+995558</f>
        <v>42255367</v>
      </c>
      <c r="T19" s="162">
        <v>42845944</v>
      </c>
      <c r="U19" s="162">
        <v>45307524</v>
      </c>
      <c r="V19" s="162">
        <f>+'SP Review'!V18+'SP Review'!V20</f>
        <v>54602259</v>
      </c>
      <c r="W19" s="162">
        <f>+'SP Review'!W18+'SP Review'!W20</f>
        <v>83749367</v>
      </c>
    </row>
    <row r="20" spans="3:24">
      <c r="C20" s="34"/>
      <c r="D20" s="36"/>
      <c r="E20" s="4"/>
      <c r="F20" s="4"/>
      <c r="G20" s="4"/>
      <c r="H20" s="4"/>
      <c r="I20" s="4"/>
      <c r="J20" s="4"/>
      <c r="K20" s="2"/>
      <c r="L20" s="37"/>
      <c r="M20" s="2"/>
      <c r="N20" s="1"/>
      <c r="O20" s="1"/>
      <c r="P20" s="1"/>
    </row>
    <row r="21" spans="3:24">
      <c r="C21" s="34"/>
      <c r="D21" s="36" t="s">
        <v>12</v>
      </c>
      <c r="E21" s="8">
        <v>7492124</v>
      </c>
      <c r="F21" s="8">
        <v>8227228</v>
      </c>
      <c r="G21" s="8">
        <v>9465944</v>
      </c>
      <c r="H21" s="8">
        <v>10247738</v>
      </c>
      <c r="I21" s="8">
        <v>10500730</v>
      </c>
      <c r="J21" s="8">
        <v>11467648</v>
      </c>
      <c r="K21" s="3">
        <v>11909758</v>
      </c>
      <c r="L21" s="44">
        <f>11796251</f>
        <v>11796251</v>
      </c>
      <c r="M21" s="3">
        <v>11748377</v>
      </c>
      <c r="N21" s="6">
        <v>12119074</v>
      </c>
      <c r="O21" s="6">
        <v>13079815</v>
      </c>
      <c r="P21" s="6">
        <v>15856034</v>
      </c>
      <c r="Q21" s="45">
        <v>15951531</v>
      </c>
      <c r="R21" s="45">
        <v>16829954</v>
      </c>
      <c r="S21" s="45">
        <v>17417233</v>
      </c>
      <c r="T21" s="45">
        <v>12766848</v>
      </c>
      <c r="U21" s="45">
        <v>7278884.3300000001</v>
      </c>
      <c r="V21" s="45">
        <f>+'SP Review'!V22</f>
        <v>14020241</v>
      </c>
      <c r="W21" s="45">
        <f>+'SP Review'!W22</f>
        <v>16291607</v>
      </c>
    </row>
    <row r="22" spans="3:24">
      <c r="C22" s="34"/>
      <c r="D22" s="36" t="s">
        <v>13</v>
      </c>
      <c r="E22" s="46">
        <v>5723043</v>
      </c>
      <c r="F22" s="46">
        <v>5864469</v>
      </c>
      <c r="G22" s="46">
        <v>6929648</v>
      </c>
      <c r="H22" s="46">
        <v>7384399</v>
      </c>
      <c r="I22" s="46">
        <v>7648607</v>
      </c>
      <c r="J22" s="46">
        <v>8350915</v>
      </c>
      <c r="K22" s="47">
        <v>8659260</v>
      </c>
      <c r="L22" s="48">
        <f>8333098+213301</f>
        <v>8546399</v>
      </c>
      <c r="M22" s="47">
        <v>8708644</v>
      </c>
      <c r="N22" s="49">
        <v>9068912</v>
      </c>
      <c r="O22" s="49">
        <v>9710990</v>
      </c>
      <c r="P22" s="49">
        <v>11049207</v>
      </c>
      <c r="Q22" s="50">
        <v>10954017</v>
      </c>
      <c r="R22" s="50">
        <v>11714491</v>
      </c>
      <c r="S22" s="50">
        <v>12045842</v>
      </c>
      <c r="T22" s="50">
        <v>9067031</v>
      </c>
      <c r="U22" s="50">
        <v>4857578.1399999997</v>
      </c>
      <c r="V22" s="50">
        <f>+'SP Review'!V23</f>
        <v>7828493</v>
      </c>
      <c r="W22" s="45">
        <f>+'SP Review'!W23</f>
        <v>9139395</v>
      </c>
    </row>
    <row r="23" spans="3:24">
      <c r="C23" s="34"/>
      <c r="D23" s="11" t="s">
        <v>97</v>
      </c>
      <c r="E23" s="158">
        <f t="shared" ref="E23:O23" si="2">SUM(E21:E22)</f>
        <v>13215167</v>
      </c>
      <c r="F23" s="158">
        <f t="shared" si="2"/>
        <v>14091697</v>
      </c>
      <c r="G23" s="158">
        <f t="shared" si="2"/>
        <v>16395592</v>
      </c>
      <c r="H23" s="158">
        <f>SUM(H21:H22)</f>
        <v>17632137</v>
      </c>
      <c r="I23" s="158">
        <f t="shared" si="2"/>
        <v>18149337</v>
      </c>
      <c r="J23" s="158">
        <f t="shared" si="2"/>
        <v>19818563</v>
      </c>
      <c r="K23" s="158">
        <f t="shared" si="2"/>
        <v>20569018</v>
      </c>
      <c r="L23" s="158">
        <f t="shared" si="2"/>
        <v>20342650</v>
      </c>
      <c r="M23" s="158">
        <f t="shared" si="2"/>
        <v>20457021</v>
      </c>
      <c r="N23" s="158">
        <f t="shared" si="2"/>
        <v>21187986</v>
      </c>
      <c r="O23" s="158">
        <f t="shared" si="2"/>
        <v>22790805</v>
      </c>
      <c r="P23" s="158">
        <f>SUM(P21:P22)</f>
        <v>26905241</v>
      </c>
      <c r="Q23" s="158">
        <f t="shared" ref="Q23:W23" si="3">SUM(Q21:Q22)</f>
        <v>26905548</v>
      </c>
      <c r="R23" s="158">
        <f t="shared" si="3"/>
        <v>28544445</v>
      </c>
      <c r="S23" s="158">
        <f t="shared" si="3"/>
        <v>29463075</v>
      </c>
      <c r="T23" s="158">
        <f t="shared" ref="T23:V23" si="4">SUM(T21:T22)</f>
        <v>21833879</v>
      </c>
      <c r="U23" s="158">
        <f t="shared" si="4"/>
        <v>12136462.469999999</v>
      </c>
      <c r="V23" s="158">
        <f t="shared" si="4"/>
        <v>21848734</v>
      </c>
      <c r="W23" s="158">
        <f t="shared" si="3"/>
        <v>25431002</v>
      </c>
    </row>
    <row r="24" spans="3:24">
      <c r="C24" s="34"/>
      <c r="D24" s="36" t="s">
        <v>14</v>
      </c>
      <c r="E24" s="46">
        <f>2365704+563968</f>
        <v>2929672</v>
      </c>
      <c r="F24" s="46">
        <v>8407097</v>
      </c>
      <c r="G24" s="46">
        <v>9284629</v>
      </c>
      <c r="H24" s="46">
        <v>10183503</v>
      </c>
      <c r="I24" s="46">
        <v>7955492</v>
      </c>
      <c r="J24" s="46">
        <v>6703423</v>
      </c>
      <c r="K24" s="47">
        <v>7670983</v>
      </c>
      <c r="L24" s="48">
        <f>(6683919+463071)-213301</f>
        <v>6933689</v>
      </c>
      <c r="M24" s="47">
        <v>7706363</v>
      </c>
      <c r="N24" s="49">
        <v>7457990</v>
      </c>
      <c r="O24" s="49">
        <v>7599718</v>
      </c>
      <c r="P24" s="49">
        <v>8613803</v>
      </c>
      <c r="Q24" s="50">
        <v>8545857</v>
      </c>
      <c r="R24" s="50">
        <v>9445317</v>
      </c>
      <c r="S24" s="50">
        <v>9565789</v>
      </c>
      <c r="T24" s="50">
        <v>7133133</v>
      </c>
      <c r="U24" s="50">
        <v>3058160.05</v>
      </c>
      <c r="V24" s="50">
        <f>+'SP Review'!V24</f>
        <v>5308933</v>
      </c>
      <c r="W24" s="50">
        <f>+'SP Review'!W24</f>
        <v>8971087</v>
      </c>
    </row>
    <row r="25" spans="3:24">
      <c r="C25" s="34"/>
      <c r="D25" s="36" t="s">
        <v>98</v>
      </c>
      <c r="E25" s="46">
        <v>-1634018</v>
      </c>
      <c r="F25" s="46">
        <v>-1708712</v>
      </c>
      <c r="G25" s="46">
        <v>-2035460</v>
      </c>
      <c r="H25" s="46">
        <v>-2100882</v>
      </c>
      <c r="I25" s="46">
        <v>-2144416</v>
      </c>
      <c r="J25" s="46">
        <v>-1830401</v>
      </c>
      <c r="K25" s="47">
        <v>-1817806</v>
      </c>
      <c r="L25" s="48">
        <v>-2160389</v>
      </c>
      <c r="M25" s="47">
        <v>-2209370</v>
      </c>
      <c r="N25" s="49">
        <v>-2160362</v>
      </c>
      <c r="O25" s="49">
        <v>-2259431</v>
      </c>
      <c r="P25" s="49">
        <v>-3424366</v>
      </c>
      <c r="Q25" s="50">
        <v>-3666087</v>
      </c>
      <c r="R25" s="50">
        <v>-3736113</v>
      </c>
      <c r="S25" s="50">
        <v>-3770304</v>
      </c>
      <c r="T25" s="50">
        <v>-3038059</v>
      </c>
      <c r="U25" s="50">
        <v>-2443912.7799999998</v>
      </c>
      <c r="V25" s="50">
        <f>+'SP Review'!V26</f>
        <v>-1699337</v>
      </c>
      <c r="W25" s="50">
        <f>+'SP Review'!W26</f>
        <v>-3353129</v>
      </c>
    </row>
    <row r="26" spans="3:24">
      <c r="C26" s="34"/>
      <c r="D26" s="11" t="s">
        <v>14</v>
      </c>
      <c r="E26" s="158">
        <f>SUM(E24:E25)</f>
        <v>1295654</v>
      </c>
      <c r="F26" s="158">
        <f>SUM(F24:F25)</f>
        <v>6698385</v>
      </c>
      <c r="G26" s="158">
        <f>SUM(G24:G25)</f>
        <v>7249169</v>
      </c>
      <c r="H26" s="158">
        <f t="shared" ref="H26:O26" si="5">SUM(H24:H25)</f>
        <v>8082621</v>
      </c>
      <c r="I26" s="158">
        <f t="shared" si="5"/>
        <v>5811076</v>
      </c>
      <c r="J26" s="158">
        <f t="shared" si="5"/>
        <v>4873022</v>
      </c>
      <c r="K26" s="158">
        <f t="shared" si="5"/>
        <v>5853177</v>
      </c>
      <c r="L26" s="158">
        <f t="shared" si="5"/>
        <v>4773300</v>
      </c>
      <c r="M26" s="158">
        <f t="shared" si="5"/>
        <v>5496993</v>
      </c>
      <c r="N26" s="158">
        <f t="shared" si="5"/>
        <v>5297628</v>
      </c>
      <c r="O26" s="158">
        <f t="shared" si="5"/>
        <v>5340287</v>
      </c>
      <c r="P26" s="158">
        <f>SUM(P24:P25)</f>
        <v>5189437</v>
      </c>
      <c r="Q26" s="158">
        <f t="shared" ref="Q26:W26" si="6">SUM(Q24:Q25)</f>
        <v>4879770</v>
      </c>
      <c r="R26" s="158">
        <f t="shared" si="6"/>
        <v>5709204</v>
      </c>
      <c r="S26" s="158">
        <f t="shared" si="6"/>
        <v>5795485</v>
      </c>
      <c r="T26" s="158">
        <f t="shared" ref="T26:V26" si="7">SUM(T24:T25)</f>
        <v>4095074</v>
      </c>
      <c r="U26" s="158">
        <f t="shared" si="7"/>
        <v>614247.27</v>
      </c>
      <c r="V26" s="158">
        <f t="shared" si="7"/>
        <v>3609596</v>
      </c>
      <c r="W26" s="158">
        <f t="shared" si="6"/>
        <v>5617958</v>
      </c>
    </row>
    <row r="27" spans="3:24" ht="15.75" thickBot="1">
      <c r="C27" s="34"/>
      <c r="D27" s="38" t="s">
        <v>99</v>
      </c>
      <c r="E27" s="7">
        <f>E18+E19+E20+E23+E26</f>
        <v>126917166</v>
      </c>
      <c r="F27" s="7">
        <f>F18+F19+F20+F23+F26</f>
        <v>138548839</v>
      </c>
      <c r="G27" s="7">
        <f>G18+G19+G20+G23+G26</f>
        <v>146882877</v>
      </c>
      <c r="H27" s="7">
        <f t="shared" ref="H27:O27" si="8">H18+H19+H20+H23+H26</f>
        <v>156123227</v>
      </c>
      <c r="I27" s="7">
        <f t="shared" si="8"/>
        <v>154097390</v>
      </c>
      <c r="J27" s="7">
        <f t="shared" si="8"/>
        <v>163398420</v>
      </c>
      <c r="K27" s="7">
        <f t="shared" si="8"/>
        <v>170406809</v>
      </c>
      <c r="L27" s="7">
        <f t="shared" si="8"/>
        <v>164044243.5</v>
      </c>
      <c r="M27" s="7">
        <f t="shared" si="8"/>
        <v>164480561</v>
      </c>
      <c r="N27" s="7">
        <f t="shared" si="8"/>
        <v>173379543</v>
      </c>
      <c r="O27" s="7">
        <f t="shared" si="8"/>
        <v>177834515</v>
      </c>
      <c r="P27" s="7">
        <f>P18+P19+P20+P23+P26</f>
        <v>190854424.16000003</v>
      </c>
      <c r="Q27" s="7">
        <f t="shared" ref="Q27:W27" si="9">Q18+Q19+Q20+Q23+Q26</f>
        <v>190512524</v>
      </c>
      <c r="R27" s="7">
        <f t="shared" si="9"/>
        <v>193266372</v>
      </c>
      <c r="S27" s="7">
        <f t="shared" si="9"/>
        <v>200009765</v>
      </c>
      <c r="T27" s="7">
        <f t="shared" ref="T27:V27" si="10">T18+T19+T20+T23+T26</f>
        <v>191360307</v>
      </c>
      <c r="U27" s="7">
        <f t="shared" si="10"/>
        <v>175471308.41</v>
      </c>
      <c r="V27" s="7">
        <f t="shared" si="10"/>
        <v>189136148</v>
      </c>
      <c r="W27" s="7">
        <f t="shared" si="9"/>
        <v>227577510</v>
      </c>
    </row>
    <row r="28" spans="3:24" ht="15.75" thickTop="1">
      <c r="C28" s="34"/>
      <c r="D28" s="3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3:24">
      <c r="C29" s="34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3:24" ht="10.5" customHeight="1">
      <c r="C30" s="34"/>
      <c r="D30" s="3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3:24" ht="15" customHeight="1">
      <c r="C31" s="34"/>
      <c r="D31" s="39" t="s">
        <v>82</v>
      </c>
      <c r="E31" s="52">
        <f>E18/E27</f>
        <v>0.55752325891046128</v>
      </c>
      <c r="F31" s="52">
        <f t="shared" ref="F31:O31" si="11">F18/F27</f>
        <v>0.53038095108108407</v>
      </c>
      <c r="G31" s="52">
        <f t="shared" si="11"/>
        <v>0.52374465677166715</v>
      </c>
      <c r="H31" s="52">
        <f t="shared" si="11"/>
        <v>0.52311314958920241</v>
      </c>
      <c r="I31" s="52">
        <f t="shared" si="11"/>
        <v>0.5331544551143923</v>
      </c>
      <c r="J31" s="52">
        <f t="shared" si="11"/>
        <v>0.56354166704916731</v>
      </c>
      <c r="K31" s="52">
        <f t="shared" si="11"/>
        <v>0.57214784768371552</v>
      </c>
      <c r="L31" s="52">
        <f t="shared" si="11"/>
        <v>0.60047783084811512</v>
      </c>
      <c r="M31" s="52">
        <f t="shared" si="11"/>
        <v>0.60717345194366157</v>
      </c>
      <c r="N31" s="52">
        <f t="shared" si="11"/>
        <v>0.59860420787935753</v>
      </c>
      <c r="O31" s="52">
        <f t="shared" si="11"/>
        <v>0.59718442733121857</v>
      </c>
      <c r="P31" s="52">
        <f>P18/P27</f>
        <v>0.58828657315208022</v>
      </c>
      <c r="Q31" s="52">
        <f t="shared" ref="Q31:S31" si="12">Q18/Q27</f>
        <v>0.61061590365576179</v>
      </c>
      <c r="R31" s="52">
        <f t="shared" si="12"/>
        <v>0.62139686670374294</v>
      </c>
      <c r="S31" s="52">
        <f t="shared" si="12"/>
        <v>0.61244928716355429</v>
      </c>
      <c r="T31" s="52">
        <f>T18/T27</f>
        <v>0.64059998607757251</v>
      </c>
      <c r="U31" s="52">
        <f>U18/U27</f>
        <v>0.66912976106416666</v>
      </c>
      <c r="V31" s="52">
        <f>V18/V27</f>
        <v>0.57670392547066152</v>
      </c>
      <c r="W31" s="52">
        <f>W18/W27</f>
        <v>0.49556383229608231</v>
      </c>
    </row>
    <row r="32" spans="3:24" ht="15" customHeight="1">
      <c r="C32" s="34"/>
      <c r="D32" s="39" t="s">
        <v>78</v>
      </c>
      <c r="E32" s="53">
        <f t="shared" ref="E32:O32" si="13">E19/E27</f>
        <v>0.32814373589148688</v>
      </c>
      <c r="F32" s="53">
        <f t="shared" si="13"/>
        <v>0.31956306757648112</v>
      </c>
      <c r="G32" s="53">
        <f t="shared" si="13"/>
        <v>0.31527836971766288</v>
      </c>
      <c r="H32" s="53">
        <f t="shared" si="13"/>
        <v>0.31217876376588088</v>
      </c>
      <c r="I32" s="53">
        <f t="shared" si="13"/>
        <v>0.31135677898243441</v>
      </c>
      <c r="J32" s="53">
        <f t="shared" si="13"/>
        <v>0.28534558045298114</v>
      </c>
      <c r="K32" s="53">
        <f t="shared" si="13"/>
        <v>0.27279851827986523</v>
      </c>
      <c r="L32" s="53">
        <f t="shared" si="13"/>
        <v>0.24641743676912381</v>
      </c>
      <c r="M32" s="53">
        <f t="shared" si="13"/>
        <v>0.23503274043429362</v>
      </c>
      <c r="N32" s="53">
        <f t="shared" si="13"/>
        <v>0.24863489806291622</v>
      </c>
      <c r="O32" s="53">
        <f t="shared" si="13"/>
        <v>0.24462866502602151</v>
      </c>
      <c r="P32" s="53">
        <f>P19/P27</f>
        <v>0.24355029339551462</v>
      </c>
      <c r="Q32" s="53">
        <f t="shared" ref="Q32:S32" si="14">Q19/Q27</f>
        <v>0.22254300194983506</v>
      </c>
      <c r="R32" s="53">
        <f t="shared" si="14"/>
        <v>0.20136770094696038</v>
      </c>
      <c r="S32" s="53">
        <f t="shared" si="14"/>
        <v>0.2112665199121653</v>
      </c>
      <c r="T32" s="53">
        <f>T19/T27</f>
        <v>0.22390194012387324</v>
      </c>
      <c r="U32" s="53">
        <f>U19/U27</f>
        <v>0.25820474247639424</v>
      </c>
      <c r="V32" s="53">
        <f>V19/V27</f>
        <v>0.28869287852896319</v>
      </c>
      <c r="W32" s="53">
        <f>W19/W27</f>
        <v>0.3680037056385756</v>
      </c>
    </row>
    <row r="33" spans="1:23" ht="15" customHeight="1">
      <c r="C33" s="34"/>
      <c r="D33" s="39" t="s">
        <v>100</v>
      </c>
      <c r="E33" s="164">
        <f>E23/E27</f>
        <v>0.10412434674124381</v>
      </c>
      <c r="F33" s="164">
        <f t="shared" ref="F33:O33" si="15">F23/F27</f>
        <v>0.10170923915140133</v>
      </c>
      <c r="G33" s="164">
        <f t="shared" si="15"/>
        <v>0.11162357610955564</v>
      </c>
      <c r="H33" s="164">
        <f t="shared" si="15"/>
        <v>0.11293730816875826</v>
      </c>
      <c r="I33" s="164">
        <f t="shared" si="15"/>
        <v>0.11777835432514464</v>
      </c>
      <c r="J33" s="164">
        <f t="shared" si="15"/>
        <v>0.12128980806546355</v>
      </c>
      <c r="K33" s="164">
        <f t="shared" si="15"/>
        <v>0.12070537627401966</v>
      </c>
      <c r="L33" s="164">
        <f t="shared" si="15"/>
        <v>0.12400709446412242</v>
      </c>
      <c r="M33" s="164">
        <f t="shared" si="15"/>
        <v>0.12437348751503832</v>
      </c>
      <c r="N33" s="164">
        <f t="shared" si="15"/>
        <v>0.12220580140760898</v>
      </c>
      <c r="O33" s="164">
        <f t="shared" si="15"/>
        <v>0.12815737709859079</v>
      </c>
      <c r="P33" s="164">
        <f>P23/P27</f>
        <v>0.14097258220980188</v>
      </c>
      <c r="Q33" s="164">
        <f t="shared" ref="Q33:W33" si="16">Q23/Q27</f>
        <v>0.14122718777270518</v>
      </c>
      <c r="R33" s="164">
        <f t="shared" si="16"/>
        <v>0.14769483539536821</v>
      </c>
      <c r="S33" s="164">
        <f t="shared" si="16"/>
        <v>0.14730818267798074</v>
      </c>
      <c r="T33" s="164">
        <f>T23/T27</f>
        <v>0.11409826490297176</v>
      </c>
      <c r="U33" s="164">
        <f>U23/U27</f>
        <v>6.9164939727025768E-2</v>
      </c>
      <c r="V33" s="164">
        <f>V23/V27</f>
        <v>0.11551855227589811</v>
      </c>
      <c r="W33" s="164">
        <f t="shared" si="16"/>
        <v>0.11174655175724525</v>
      </c>
    </row>
    <row r="34" spans="1:23" ht="10.5" customHeight="1">
      <c r="C34" s="34"/>
      <c r="D34" s="3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23" ht="10.5" customHeight="1">
      <c r="C35" s="34"/>
      <c r="D35" s="3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23">
      <c r="C36" s="34"/>
      <c r="D36" s="36" t="s">
        <v>101</v>
      </c>
      <c r="E36" s="3">
        <v>23698162</v>
      </c>
      <c r="F36" s="3">
        <v>25573029</v>
      </c>
      <c r="G36" s="3">
        <v>28114501</v>
      </c>
      <c r="H36" s="3">
        <v>30325656</v>
      </c>
      <c r="I36" s="3">
        <v>31523832</v>
      </c>
      <c r="J36" s="3">
        <v>31210590</v>
      </c>
      <c r="K36" s="3">
        <v>33141513</v>
      </c>
      <c r="L36" s="3">
        <f>33318837-154214</f>
        <v>33164623</v>
      </c>
      <c r="M36" s="3">
        <v>37919258</v>
      </c>
      <c r="N36" s="3">
        <v>47055355</v>
      </c>
      <c r="O36" s="3">
        <v>50985620</v>
      </c>
      <c r="P36" s="3">
        <v>56628723</v>
      </c>
      <c r="Q36" s="54">
        <v>56491790</v>
      </c>
      <c r="R36" s="54">
        <v>57767005</v>
      </c>
      <c r="S36" s="54">
        <v>63622427</v>
      </c>
      <c r="T36" s="54">
        <v>66048330</v>
      </c>
      <c r="U36" s="54">
        <v>69374259.739999995</v>
      </c>
      <c r="V36" s="54">
        <f>+'SP Review'!V54</f>
        <v>71905590</v>
      </c>
      <c r="W36" s="54">
        <f>+'SP Review'!W54</f>
        <v>74171951</v>
      </c>
    </row>
    <row r="37" spans="1:23">
      <c r="C37" s="34"/>
      <c r="D37" s="36" t="s">
        <v>104</v>
      </c>
      <c r="E37" s="46">
        <v>18571264</v>
      </c>
      <c r="F37" s="46">
        <v>20531478</v>
      </c>
      <c r="G37" s="46">
        <v>22219210</v>
      </c>
      <c r="H37" s="46">
        <v>23734668</v>
      </c>
      <c r="I37" s="46">
        <v>23983777</v>
      </c>
      <c r="J37" s="46">
        <v>25076676</v>
      </c>
      <c r="K37" s="47">
        <v>25989882</v>
      </c>
      <c r="L37" s="48">
        <v>24313730</v>
      </c>
      <c r="M37" s="47">
        <v>26786138</v>
      </c>
      <c r="N37" s="49">
        <v>35085664</v>
      </c>
      <c r="O37" s="49">
        <v>36441839</v>
      </c>
      <c r="P37" s="49">
        <v>40938165</v>
      </c>
      <c r="Q37" s="50">
        <v>39674870</v>
      </c>
      <c r="R37" s="50">
        <v>37656992</v>
      </c>
      <c r="S37" s="50">
        <v>43693977</v>
      </c>
      <c r="T37" s="50">
        <v>43100980</v>
      </c>
      <c r="U37" s="50">
        <v>46860086</v>
      </c>
      <c r="V37" s="50">
        <f>+'SP Review'!V21</f>
        <v>55219261</v>
      </c>
      <c r="W37" s="50">
        <f>+'SP Review'!W21</f>
        <v>59578800</v>
      </c>
    </row>
    <row r="38" spans="1:23" ht="15.75" thickBot="1">
      <c r="A38" s="34"/>
      <c r="B38" s="34"/>
      <c r="C38" s="34"/>
      <c r="D38" s="10" t="s">
        <v>105</v>
      </c>
      <c r="E38" s="165">
        <f t="shared" ref="E38:W38" si="17">E36-E37</f>
        <v>5126898</v>
      </c>
      <c r="F38" s="165">
        <f t="shared" si="17"/>
        <v>5041551</v>
      </c>
      <c r="G38" s="165">
        <f t="shared" si="17"/>
        <v>5895291</v>
      </c>
      <c r="H38" s="165">
        <f t="shared" si="17"/>
        <v>6590988</v>
      </c>
      <c r="I38" s="165">
        <f t="shared" si="17"/>
        <v>7540055</v>
      </c>
      <c r="J38" s="165">
        <f t="shared" si="17"/>
        <v>6133914</v>
      </c>
      <c r="K38" s="165">
        <f t="shared" si="17"/>
        <v>7151631</v>
      </c>
      <c r="L38" s="165">
        <f t="shared" si="17"/>
        <v>8850893</v>
      </c>
      <c r="M38" s="165">
        <f t="shared" si="17"/>
        <v>11133120</v>
      </c>
      <c r="N38" s="165">
        <f t="shared" si="17"/>
        <v>11969691</v>
      </c>
      <c r="O38" s="165">
        <f t="shared" si="17"/>
        <v>14543781</v>
      </c>
      <c r="P38" s="165">
        <f t="shared" si="17"/>
        <v>15690558</v>
      </c>
      <c r="Q38" s="165">
        <f t="shared" si="17"/>
        <v>16816920</v>
      </c>
      <c r="R38" s="165">
        <f t="shared" si="17"/>
        <v>20110013</v>
      </c>
      <c r="S38" s="165">
        <f t="shared" si="17"/>
        <v>19928450</v>
      </c>
      <c r="T38" s="165">
        <f t="shared" si="17"/>
        <v>22947350</v>
      </c>
      <c r="U38" s="165">
        <f t="shared" si="17"/>
        <v>22514173.739999995</v>
      </c>
      <c r="V38" s="165">
        <f t="shared" si="17"/>
        <v>16686329</v>
      </c>
      <c r="W38" s="165">
        <f t="shared" si="17"/>
        <v>14593151</v>
      </c>
    </row>
    <row r="39" spans="1:23" ht="15" customHeight="1" thickTop="1">
      <c r="C39" s="34"/>
      <c r="D39" s="39" t="s">
        <v>106</v>
      </c>
      <c r="E39" s="55">
        <f t="shared" ref="E39:W39" si="18">E38/E27</f>
        <v>4.0395623079071907E-2</v>
      </c>
      <c r="F39" s="55">
        <f t="shared" si="18"/>
        <v>3.6388258728028748E-2</v>
      </c>
      <c r="G39" s="55">
        <f t="shared" si="18"/>
        <v>4.0135998970118214E-2</v>
      </c>
      <c r="H39" s="55">
        <f t="shared" si="18"/>
        <v>4.221657550032578E-2</v>
      </c>
      <c r="I39" s="55">
        <f t="shared" si="18"/>
        <v>4.8930452358732356E-2</v>
      </c>
      <c r="J39" s="55">
        <f t="shared" si="18"/>
        <v>3.7539616356143467E-2</v>
      </c>
      <c r="K39" s="55">
        <f t="shared" si="18"/>
        <v>4.1967988497454936E-2</v>
      </c>
      <c r="L39" s="55">
        <f t="shared" si="18"/>
        <v>5.3954304102112549E-2</v>
      </c>
      <c r="M39" s="55">
        <f t="shared" si="18"/>
        <v>6.7686539566216578E-2</v>
      </c>
      <c r="N39" s="55">
        <f t="shared" si="18"/>
        <v>6.9037504614947565E-2</v>
      </c>
      <c r="O39" s="55">
        <f t="shared" si="18"/>
        <v>8.1782667442256637E-2</v>
      </c>
      <c r="P39" s="55">
        <f t="shared" si="18"/>
        <v>8.2212178570437791E-2</v>
      </c>
      <c r="Q39" s="55">
        <f t="shared" si="18"/>
        <v>8.8271992029248431E-2</v>
      </c>
      <c r="R39" s="55">
        <f t="shared" si="18"/>
        <v>0.10405334767705993</v>
      </c>
      <c r="S39" s="55">
        <f t="shared" si="18"/>
        <v>9.9637385204667375E-2</v>
      </c>
      <c r="T39" s="55">
        <f t="shared" si="18"/>
        <v>0.11991697943921045</v>
      </c>
      <c r="U39" s="55">
        <f t="shared" si="18"/>
        <v>0.12830686648437237</v>
      </c>
      <c r="V39" s="55">
        <f t="shared" si="18"/>
        <v>8.8223902075027991E-2</v>
      </c>
      <c r="W39" s="55">
        <f t="shared" si="18"/>
        <v>6.4123871466912521E-2</v>
      </c>
    </row>
    <row r="40" spans="1:23">
      <c r="A40" s="34"/>
      <c r="B40" s="34"/>
      <c r="C40" s="34"/>
      <c r="D40" s="34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>
      <c r="A41" s="34"/>
      <c r="B41" s="34"/>
      <c r="C41" s="34"/>
      <c r="D41" s="34" t="s">
        <v>107</v>
      </c>
      <c r="E41" s="40"/>
      <c r="F41" s="40"/>
      <c r="G41" s="40"/>
      <c r="H41" s="40"/>
      <c r="I41" s="40"/>
      <c r="J41" s="40"/>
      <c r="K41" s="40"/>
    </row>
    <row r="42" spans="1:23">
      <c r="A42" s="34"/>
      <c r="B42" s="34"/>
      <c r="C42" s="34"/>
      <c r="D42" s="34" t="s">
        <v>108</v>
      </c>
      <c r="E42" s="40"/>
      <c r="F42" s="40"/>
      <c r="G42" s="40"/>
      <c r="H42" s="40"/>
      <c r="I42" s="40"/>
      <c r="J42" s="40"/>
      <c r="K42" s="40"/>
    </row>
    <row r="43" spans="1:23">
      <c r="A43" s="34"/>
      <c r="B43" s="34"/>
      <c r="C43" s="34"/>
      <c r="D43" s="34"/>
      <c r="E43" s="40"/>
      <c r="F43" s="40"/>
      <c r="G43" s="40"/>
      <c r="H43" s="40"/>
      <c r="I43" s="40"/>
      <c r="J43" s="40"/>
      <c r="K43" s="40"/>
    </row>
    <row r="44" spans="1:23">
      <c r="E44" s="40"/>
      <c r="F44" s="40"/>
      <c r="G44" s="40"/>
      <c r="H44" s="40"/>
      <c r="I44" s="40"/>
      <c r="J44" s="40"/>
      <c r="K44" s="40"/>
    </row>
    <row r="45" spans="1:23">
      <c r="E45" s="40"/>
      <c r="F45" s="40"/>
      <c r="G45" s="40"/>
      <c r="H45" s="40"/>
      <c r="I45" s="40"/>
      <c r="J45" s="40"/>
      <c r="K45" s="40"/>
    </row>
    <row r="46" spans="1:23">
      <c r="E46" s="41"/>
      <c r="F46" s="2"/>
      <c r="G46" s="2"/>
      <c r="H46" s="2"/>
      <c r="I46" s="2"/>
      <c r="J46" s="2"/>
      <c r="K46" s="2"/>
    </row>
    <row r="47" spans="1:23">
      <c r="D47" s="40" t="s">
        <v>121</v>
      </c>
    </row>
    <row r="49" spans="3:4">
      <c r="C49" s="42"/>
    </row>
    <row r="50" spans="3:4">
      <c r="D50" s="43"/>
    </row>
  </sheetData>
  <phoneticPr fontId="50" type="noConversion"/>
  <printOptions horizontalCentered="1"/>
  <pageMargins left="0" right="0" top="0.75" bottom="0" header="0.3" footer="0.3"/>
  <pageSetup paperSize="5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0"/>
  <sheetViews>
    <sheetView showGridLines="0" workbookViewId="0">
      <pane xSplit="4" topLeftCell="E1" activePane="topRight" state="frozen"/>
      <selection activeCell="W28" sqref="V28:W28"/>
      <selection pane="topRight" activeCell="W28" sqref="V28:W28"/>
    </sheetView>
  </sheetViews>
  <sheetFormatPr defaultColWidth="9.1328125" defaultRowHeight="15.4" outlineLevelCol="1"/>
  <cols>
    <col min="1" max="1" width="10" style="60" hidden="1" customWidth="1"/>
    <col min="2" max="2" width="1.1328125" style="60" customWidth="1"/>
    <col min="3" max="3" width="2.6640625" style="60" customWidth="1"/>
    <col min="4" max="4" width="41.1328125" style="60" customWidth="1"/>
    <col min="5" max="5" width="15.53125" style="60" hidden="1" customWidth="1" outlineLevel="1"/>
    <col min="6" max="9" width="13.33203125" style="60" hidden="1" customWidth="1" outlineLevel="1"/>
    <col min="10" max="10" width="13.33203125" style="60" bestFit="1" customWidth="1" collapsed="1"/>
    <col min="11" max="11" width="13.33203125" style="60" bestFit="1" customWidth="1"/>
    <col min="12" max="12" width="13.6640625" style="60" customWidth="1"/>
    <col min="13" max="14" width="13.86328125" style="60" customWidth="1"/>
    <col min="15" max="15" width="13.33203125" style="60" bestFit="1" customWidth="1"/>
    <col min="16" max="16" width="13.46484375" style="60" bestFit="1" customWidth="1"/>
    <col min="17" max="20" width="13.33203125" style="60" bestFit="1" customWidth="1"/>
    <col min="21" max="21" width="16.46484375" style="60" bestFit="1" customWidth="1"/>
    <col min="22" max="22" width="16.46484375" style="60" customWidth="1"/>
    <col min="23" max="23" width="16.46484375" style="60" bestFit="1" customWidth="1"/>
    <col min="24" max="16384" width="9.1328125" style="60"/>
  </cols>
  <sheetData>
    <row r="1" spans="1:23">
      <c r="A1" s="56" t="s">
        <v>0</v>
      </c>
      <c r="B1" s="56"/>
      <c r="C1" s="56"/>
      <c r="D1" s="57"/>
      <c r="E1" s="58"/>
      <c r="F1" s="58"/>
      <c r="G1" s="58"/>
      <c r="H1" s="58"/>
      <c r="I1" s="58"/>
      <c r="J1" s="58"/>
      <c r="K1" s="58"/>
      <c r="L1" s="59"/>
    </row>
    <row r="2" spans="1:23" ht="24.75" customHeight="1">
      <c r="B2" s="61"/>
      <c r="C2" s="61" t="s">
        <v>122</v>
      </c>
      <c r="D2" s="62"/>
      <c r="E2" s="58"/>
      <c r="F2" s="58"/>
      <c r="G2" s="58"/>
      <c r="H2" s="58"/>
      <c r="I2" s="58"/>
      <c r="J2" s="58"/>
      <c r="K2" s="58"/>
      <c r="M2" s="23"/>
      <c r="N2" s="23"/>
      <c r="O2" s="23"/>
    </row>
    <row r="3" spans="1:23" ht="36.75" customHeight="1">
      <c r="A3" s="63"/>
      <c r="B3" s="64" t="s">
        <v>147</v>
      </c>
      <c r="C3" s="63"/>
      <c r="D3" s="65"/>
      <c r="E3" s="27"/>
      <c r="F3" s="27"/>
      <c r="G3" s="27"/>
      <c r="H3" s="27"/>
      <c r="I3" s="27"/>
      <c r="J3" s="27"/>
      <c r="K3" s="27"/>
      <c r="M3" s="66"/>
      <c r="N3" s="66"/>
      <c r="O3" s="66"/>
      <c r="P3" s="145"/>
      <c r="W3" s="157" t="str">
        <f>+'SP Review'!W3</f>
        <v>FY24 Spending Plan           (as of 5/19/23)</v>
      </c>
    </row>
    <row r="4" spans="1:23">
      <c r="A4" s="68"/>
      <c r="B4" s="68"/>
      <c r="C4" s="68"/>
      <c r="E4" s="30" t="s">
        <v>91</v>
      </c>
      <c r="F4" s="30" t="s">
        <v>89</v>
      </c>
      <c r="G4" s="30" t="s">
        <v>63</v>
      </c>
      <c r="H4" s="30" t="s">
        <v>64</v>
      </c>
      <c r="I4" s="30" t="s">
        <v>58</v>
      </c>
      <c r="J4" s="30" t="s">
        <v>54</v>
      </c>
      <c r="K4" s="30" t="s">
        <v>55</v>
      </c>
      <c r="L4" s="30" t="s">
        <v>76</v>
      </c>
      <c r="M4" s="31" t="s">
        <v>77</v>
      </c>
      <c r="N4" s="31" t="s">
        <v>83</v>
      </c>
      <c r="O4" s="31" t="s">
        <v>84</v>
      </c>
      <c r="P4" s="31" t="s">
        <v>85</v>
      </c>
      <c r="Q4" s="31" t="s">
        <v>93</v>
      </c>
      <c r="R4" s="31" t="s">
        <v>123</v>
      </c>
      <c r="S4" s="31" t="s">
        <v>126</v>
      </c>
      <c r="T4" s="31" t="s">
        <v>127</v>
      </c>
      <c r="U4" s="31" t="s">
        <v>137</v>
      </c>
      <c r="V4" s="31" t="s">
        <v>142</v>
      </c>
      <c r="W4" s="31" t="s">
        <v>151</v>
      </c>
    </row>
    <row r="5" spans="1:23">
      <c r="A5" s="68"/>
      <c r="B5" s="68"/>
      <c r="C5" s="68"/>
      <c r="D5" s="69" t="s">
        <v>1</v>
      </c>
      <c r="E5" s="70" t="s">
        <v>59</v>
      </c>
      <c r="F5" s="70" t="s">
        <v>59</v>
      </c>
      <c r="G5" s="70" t="s">
        <v>59</v>
      </c>
      <c r="H5" s="70" t="s">
        <v>59</v>
      </c>
      <c r="I5" s="70" t="s">
        <v>59</v>
      </c>
      <c r="J5" s="70" t="s">
        <v>59</v>
      </c>
      <c r="K5" s="70" t="s">
        <v>59</v>
      </c>
      <c r="L5" s="70" t="s">
        <v>59</v>
      </c>
      <c r="M5" s="71" t="s">
        <v>59</v>
      </c>
      <c r="N5" s="71" t="s">
        <v>59</v>
      </c>
      <c r="O5" s="71" t="s">
        <v>59</v>
      </c>
      <c r="P5" s="71" t="s">
        <v>59</v>
      </c>
      <c r="Q5" s="71" t="s">
        <v>59</v>
      </c>
      <c r="R5" s="71" t="s">
        <v>59</v>
      </c>
      <c r="S5" s="71" t="s">
        <v>59</v>
      </c>
      <c r="T5" s="71" t="s">
        <v>59</v>
      </c>
      <c r="U5" s="71" t="s">
        <v>59</v>
      </c>
      <c r="V5" s="71" t="s">
        <v>59</v>
      </c>
      <c r="W5" s="71" t="s">
        <v>61</v>
      </c>
    </row>
    <row r="6" spans="1:23" ht="5.25" customHeight="1">
      <c r="A6" s="68"/>
      <c r="B6" s="68"/>
      <c r="C6" s="68"/>
      <c r="D6" s="32"/>
      <c r="E6" s="33"/>
      <c r="F6" s="33"/>
      <c r="G6" s="33"/>
      <c r="H6" s="33"/>
      <c r="I6" s="33"/>
      <c r="J6" s="33"/>
      <c r="K6" s="33"/>
      <c r="L6" s="21"/>
    </row>
    <row r="7" spans="1:23">
      <c r="A7" s="72"/>
      <c r="B7" s="72"/>
      <c r="C7" s="61" t="s">
        <v>2</v>
      </c>
      <c r="D7" s="72"/>
      <c r="E7" s="35"/>
      <c r="F7" s="35"/>
      <c r="G7" s="35"/>
      <c r="H7" s="35"/>
      <c r="I7" s="35"/>
      <c r="J7" s="35"/>
      <c r="K7" s="35"/>
    </row>
    <row r="8" spans="1:23">
      <c r="C8" s="72"/>
      <c r="D8" s="74" t="s">
        <v>109</v>
      </c>
      <c r="E8" s="3">
        <v>70759272</v>
      </c>
      <c r="F8" s="3">
        <v>73483665</v>
      </c>
      <c r="G8" s="3">
        <v>76929122</v>
      </c>
      <c r="H8" s="3">
        <v>81670113</v>
      </c>
      <c r="I8" s="3">
        <v>85320255</v>
      </c>
      <c r="J8" s="3">
        <v>92081818</v>
      </c>
      <c r="K8" s="3">
        <v>97497889</v>
      </c>
      <c r="L8" s="3">
        <v>98504931.5</v>
      </c>
      <c r="M8" s="3">
        <v>99868230</v>
      </c>
      <c r="N8" s="3">
        <v>103785724</v>
      </c>
      <c r="O8" s="3">
        <v>106200003</v>
      </c>
      <c r="P8" s="3">
        <v>112277095.16000001</v>
      </c>
      <c r="Q8" s="3">
        <v>116329977</v>
      </c>
      <c r="R8" s="3">
        <v>120095118</v>
      </c>
      <c r="S8" s="3">
        <v>122495838</v>
      </c>
      <c r="T8" s="3">
        <v>122585410</v>
      </c>
      <c r="U8" s="3">
        <v>117413074.66999999</v>
      </c>
      <c r="V8" s="3">
        <f>SUM('SP Review'!V8:V14)</f>
        <v>109075559</v>
      </c>
      <c r="W8" s="3">
        <f>SUM('SP Review'!W8:W14)</f>
        <v>112779183</v>
      </c>
    </row>
    <row r="9" spans="1:23">
      <c r="C9" s="72"/>
      <c r="D9" s="74" t="s">
        <v>10</v>
      </c>
      <c r="E9" s="8">
        <v>41647073</v>
      </c>
      <c r="F9" s="8">
        <v>44275092</v>
      </c>
      <c r="G9" s="8">
        <v>46308994</v>
      </c>
      <c r="H9" s="8">
        <v>48738356</v>
      </c>
      <c r="I9" s="8">
        <v>47979267</v>
      </c>
      <c r="J9" s="8">
        <v>46625017</v>
      </c>
      <c r="K9" s="3">
        <v>46486725</v>
      </c>
      <c r="L9" s="3">
        <v>40423362</v>
      </c>
      <c r="M9" s="3">
        <v>38658317</v>
      </c>
      <c r="N9" s="3">
        <v>43108205</v>
      </c>
      <c r="O9" s="3">
        <v>43503420</v>
      </c>
      <c r="P9" s="3">
        <v>46482651</v>
      </c>
      <c r="Q9" s="3">
        <v>42397229</v>
      </c>
      <c r="R9" s="3">
        <v>38917605</v>
      </c>
      <c r="S9" s="3">
        <v>42255367</v>
      </c>
      <c r="T9" s="3">
        <v>42845944</v>
      </c>
      <c r="U9" s="3">
        <v>45307524</v>
      </c>
      <c r="V9" s="3">
        <f>+'SP Review'!V18+'SP Review'!V20</f>
        <v>54602259</v>
      </c>
      <c r="W9" s="3">
        <f>+'SP Review'!W18+'SP Review'!W20</f>
        <v>83749367</v>
      </c>
    </row>
    <row r="10" spans="1:23">
      <c r="C10" s="72"/>
      <c r="D10" s="74" t="s">
        <v>11</v>
      </c>
      <c r="E10" s="8">
        <v>18571264</v>
      </c>
      <c r="F10" s="8">
        <v>20531478</v>
      </c>
      <c r="G10" s="8">
        <v>22219210</v>
      </c>
      <c r="H10" s="8">
        <v>23734668</v>
      </c>
      <c r="I10" s="8">
        <v>23983777</v>
      </c>
      <c r="J10" s="8">
        <v>25076676</v>
      </c>
      <c r="K10" s="3">
        <v>25989882</v>
      </c>
      <c r="L10" s="3">
        <v>24313730</v>
      </c>
      <c r="M10" s="3">
        <v>26786138</v>
      </c>
      <c r="N10" s="3">
        <v>35085664</v>
      </c>
      <c r="O10" s="3">
        <v>36441839</v>
      </c>
      <c r="P10" s="3">
        <v>40938165.310000002</v>
      </c>
      <c r="Q10" s="3">
        <v>39674870</v>
      </c>
      <c r="R10" s="3">
        <v>37656992</v>
      </c>
      <c r="S10" s="3">
        <v>43693977</v>
      </c>
      <c r="T10" s="3">
        <v>43100980</v>
      </c>
      <c r="U10" s="3">
        <v>46860086</v>
      </c>
      <c r="V10" s="3">
        <f>+'SP Review'!V21</f>
        <v>55219261</v>
      </c>
      <c r="W10" s="3">
        <f>+'SP Review'!W21</f>
        <v>59578800</v>
      </c>
    </row>
    <row r="11" spans="1:23">
      <c r="C11" s="72"/>
      <c r="D11" s="74" t="s">
        <v>97</v>
      </c>
      <c r="E11" s="3">
        <v>13215167</v>
      </c>
      <c r="F11" s="3">
        <v>14091697</v>
      </c>
      <c r="G11" s="3">
        <v>16395592</v>
      </c>
      <c r="H11" s="3">
        <v>17632137</v>
      </c>
      <c r="I11" s="3">
        <v>18149337</v>
      </c>
      <c r="J11" s="3">
        <v>19818563</v>
      </c>
      <c r="K11" s="3">
        <v>20569018</v>
      </c>
      <c r="L11" s="3">
        <v>20342650</v>
      </c>
      <c r="M11" s="3">
        <v>20457021</v>
      </c>
      <c r="N11" s="3">
        <v>21187986</v>
      </c>
      <c r="O11" s="3">
        <v>22790805</v>
      </c>
      <c r="P11" s="3">
        <v>26905240.940000001</v>
      </c>
      <c r="Q11" s="3">
        <v>26905548</v>
      </c>
      <c r="R11" s="3">
        <v>28544445</v>
      </c>
      <c r="S11" s="3">
        <v>29463075</v>
      </c>
      <c r="T11" s="3">
        <v>21833879</v>
      </c>
      <c r="U11" s="3">
        <v>12136462.469999999</v>
      </c>
      <c r="V11" s="3">
        <f>SUM('SP Review'!V22:V23)</f>
        <v>21848734</v>
      </c>
      <c r="W11" s="3">
        <f>SUM('SP Review'!W22:W23)</f>
        <v>25431002</v>
      </c>
    </row>
    <row r="12" spans="1:23">
      <c r="C12" s="72"/>
      <c r="D12" s="74" t="s">
        <v>14</v>
      </c>
      <c r="E12" s="2">
        <v>1295654</v>
      </c>
      <c r="F12" s="2">
        <v>6698385</v>
      </c>
      <c r="G12" s="2">
        <v>7249169</v>
      </c>
      <c r="H12" s="2">
        <v>8082621</v>
      </c>
      <c r="I12" s="2">
        <v>5811076</v>
      </c>
      <c r="J12" s="2">
        <v>4873022</v>
      </c>
      <c r="K12" s="2">
        <v>5853177</v>
      </c>
      <c r="L12" s="2">
        <v>4773300</v>
      </c>
      <c r="M12" s="2">
        <v>5496993</v>
      </c>
      <c r="N12" s="2">
        <v>5297628</v>
      </c>
      <c r="O12" s="2">
        <v>5340287</v>
      </c>
      <c r="P12" s="2">
        <v>5189437</v>
      </c>
      <c r="Q12" s="2">
        <v>4879770</v>
      </c>
      <c r="R12" s="2">
        <v>5709204</v>
      </c>
      <c r="S12" s="2">
        <v>5795485</v>
      </c>
      <c r="T12" s="2">
        <v>4095074</v>
      </c>
      <c r="U12" s="2">
        <v>614247.27</v>
      </c>
      <c r="V12" s="2">
        <f>SUM('SP Review'!V24:V26)</f>
        <v>3609596</v>
      </c>
      <c r="W12" s="2">
        <f>SUM('SP Review'!W24:W26)</f>
        <v>5617958</v>
      </c>
    </row>
    <row r="13" spans="1:23" ht="15.75" thickBot="1">
      <c r="C13" s="72"/>
      <c r="D13" s="77" t="s">
        <v>16</v>
      </c>
      <c r="E13" s="7">
        <f t="shared" ref="E13:W13" si="0">E8+E9+E10+E11+E12</f>
        <v>145488430</v>
      </c>
      <c r="F13" s="7">
        <f t="shared" si="0"/>
        <v>159080317</v>
      </c>
      <c r="G13" s="7">
        <f t="shared" si="0"/>
        <v>169102087</v>
      </c>
      <c r="H13" s="7">
        <f t="shared" si="0"/>
        <v>179857895</v>
      </c>
      <c r="I13" s="7">
        <f t="shared" si="0"/>
        <v>181243712</v>
      </c>
      <c r="J13" s="7">
        <f t="shared" si="0"/>
        <v>188475096</v>
      </c>
      <c r="K13" s="7">
        <f t="shared" si="0"/>
        <v>196396691</v>
      </c>
      <c r="L13" s="7">
        <f t="shared" si="0"/>
        <v>188357973.5</v>
      </c>
      <c r="M13" s="7">
        <f t="shared" si="0"/>
        <v>191266699</v>
      </c>
      <c r="N13" s="7">
        <f t="shared" si="0"/>
        <v>208465207</v>
      </c>
      <c r="O13" s="7">
        <f t="shared" si="0"/>
        <v>214276354</v>
      </c>
      <c r="P13" s="7">
        <f t="shared" si="0"/>
        <v>231792589.41000003</v>
      </c>
      <c r="Q13" s="7">
        <f t="shared" si="0"/>
        <v>230187394</v>
      </c>
      <c r="R13" s="7">
        <f t="shared" si="0"/>
        <v>230923364</v>
      </c>
      <c r="S13" s="7">
        <f t="shared" si="0"/>
        <v>243703742</v>
      </c>
      <c r="T13" s="7">
        <f t="shared" si="0"/>
        <v>234461287</v>
      </c>
      <c r="U13" s="7">
        <f t="shared" si="0"/>
        <v>222331394.41</v>
      </c>
      <c r="V13" s="7">
        <f t="shared" si="0"/>
        <v>244355409</v>
      </c>
      <c r="W13" s="7">
        <f t="shared" si="0"/>
        <v>287156310</v>
      </c>
    </row>
    <row r="14" spans="1:23" ht="10.5" customHeight="1" thickTop="1">
      <c r="C14" s="72"/>
      <c r="D14" s="7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3" s="21" customFormat="1" ht="15" customHeight="1">
      <c r="C15" s="34"/>
      <c r="D15" s="39" t="s">
        <v>82</v>
      </c>
      <c r="E15" s="52">
        <f t="shared" ref="E15:W15" si="1">E8/E13</f>
        <v>0.48635669516813124</v>
      </c>
      <c r="F15" s="52">
        <f t="shared" si="1"/>
        <v>0.46192807750062503</v>
      </c>
      <c r="G15" s="52">
        <f t="shared" si="1"/>
        <v>0.45492709974655726</v>
      </c>
      <c r="H15" s="52">
        <f t="shared" si="1"/>
        <v>0.45408133460029654</v>
      </c>
      <c r="I15" s="52">
        <f t="shared" si="1"/>
        <v>0.47074877279052857</v>
      </c>
      <c r="J15" s="52">
        <f t="shared" si="1"/>
        <v>0.48856225546106102</v>
      </c>
      <c r="K15" s="52">
        <f t="shared" si="1"/>
        <v>0.49643346078575223</v>
      </c>
      <c r="L15" s="52">
        <f t="shared" si="1"/>
        <v>0.52296661335656169</v>
      </c>
      <c r="M15" s="52">
        <f t="shared" si="1"/>
        <v>0.52214123275061075</v>
      </c>
      <c r="N15" s="52">
        <f t="shared" si="1"/>
        <v>0.49785633532601919</v>
      </c>
      <c r="O15" s="52">
        <f t="shared" si="1"/>
        <v>0.49562166341508684</v>
      </c>
      <c r="P15" s="52">
        <f t="shared" si="1"/>
        <v>0.4843860429092568</v>
      </c>
      <c r="Q15" s="52">
        <f t="shared" si="1"/>
        <v>0.50537075457746394</v>
      </c>
      <c r="R15" s="52">
        <f t="shared" si="1"/>
        <v>0.5200648211585901</v>
      </c>
      <c r="S15" s="52">
        <f t="shared" si="1"/>
        <v>0.50264241736591797</v>
      </c>
      <c r="T15" s="52">
        <f t="shared" si="1"/>
        <v>0.52283859552472733</v>
      </c>
      <c r="U15" s="52">
        <f t="shared" si="1"/>
        <v>0.5280993940670351</v>
      </c>
      <c r="V15" s="52">
        <f t="shared" si="1"/>
        <v>0.44638078381968621</v>
      </c>
      <c r="W15" s="52">
        <f t="shared" si="1"/>
        <v>0.3927449234878384</v>
      </c>
    </row>
    <row r="16" spans="1:23" s="21" customFormat="1" ht="15" customHeight="1">
      <c r="C16" s="34"/>
      <c r="D16" s="39" t="s">
        <v>78</v>
      </c>
      <c r="E16" s="53">
        <f t="shared" ref="E16:W16" si="2">E9/E13</f>
        <v>0.28625694153136438</v>
      </c>
      <c r="F16" s="53">
        <f t="shared" si="2"/>
        <v>0.27831910845387614</v>
      </c>
      <c r="G16" s="53">
        <f t="shared" si="2"/>
        <v>0.27385229136763994</v>
      </c>
      <c r="H16" s="53">
        <f t="shared" si="2"/>
        <v>0.27098257766221495</v>
      </c>
      <c r="I16" s="53">
        <f t="shared" si="2"/>
        <v>0.2647223810997647</v>
      </c>
      <c r="J16" s="53">
        <f t="shared" si="2"/>
        <v>0.24738025335718625</v>
      </c>
      <c r="K16" s="53">
        <f t="shared" si="2"/>
        <v>0.23669810709794495</v>
      </c>
      <c r="L16" s="53">
        <f t="shared" si="2"/>
        <v>0.21460924243804311</v>
      </c>
      <c r="M16" s="53">
        <f t="shared" si="2"/>
        <v>0.20211734296726688</v>
      </c>
      <c r="N16" s="53">
        <f t="shared" si="2"/>
        <v>0.20678848821040913</v>
      </c>
      <c r="O16" s="53">
        <f t="shared" si="2"/>
        <v>0.20302482839520408</v>
      </c>
      <c r="P16" s="53">
        <f t="shared" si="2"/>
        <v>0.20053553531765603</v>
      </c>
      <c r="Q16" s="53">
        <f t="shared" si="2"/>
        <v>0.18418571175100926</v>
      </c>
      <c r="R16" s="53">
        <f t="shared" si="2"/>
        <v>0.1685303917536902</v>
      </c>
      <c r="S16" s="53">
        <f t="shared" si="2"/>
        <v>0.17338825679582712</v>
      </c>
      <c r="T16" s="53">
        <f t="shared" si="2"/>
        <v>0.18274208313119086</v>
      </c>
      <c r="U16" s="53">
        <f t="shared" si="2"/>
        <v>0.20378374417266806</v>
      </c>
      <c r="V16" s="53">
        <f t="shared" si="2"/>
        <v>0.22345426779564351</v>
      </c>
      <c r="W16" s="53">
        <f t="shared" si="2"/>
        <v>0.2916507981315124</v>
      </c>
    </row>
    <row r="17" spans="3:23" s="21" customFormat="1" ht="15" customHeight="1">
      <c r="C17" s="34"/>
      <c r="D17" s="39" t="s">
        <v>100</v>
      </c>
      <c r="E17" s="164">
        <f t="shared" ref="E17:W17" si="3">E11/E13</f>
        <v>9.083311298362351E-2</v>
      </c>
      <c r="F17" s="164">
        <f t="shared" si="3"/>
        <v>8.8582278849746066E-2</v>
      </c>
      <c r="G17" s="164">
        <f t="shared" si="3"/>
        <v>9.6956769078787294E-2</v>
      </c>
      <c r="H17" s="164">
        <f t="shared" si="3"/>
        <v>9.8033711558783668E-2</v>
      </c>
      <c r="I17" s="164">
        <f t="shared" si="3"/>
        <v>0.1001377471236078</v>
      </c>
      <c r="J17" s="164">
        <f t="shared" si="3"/>
        <v>0.10515215760919416</v>
      </c>
      <c r="K17" s="164">
        <f t="shared" si="3"/>
        <v>0.10473199876875726</v>
      </c>
      <c r="L17" s="164">
        <f t="shared" si="3"/>
        <v>0.10799994086791341</v>
      </c>
      <c r="M17" s="164">
        <f t="shared" si="3"/>
        <v>0.10695547686531674</v>
      </c>
      <c r="N17" s="164">
        <f t="shared" si="3"/>
        <v>0.10163799659863625</v>
      </c>
      <c r="O17" s="164">
        <f t="shared" si="3"/>
        <v>0.10636173602244511</v>
      </c>
      <c r="P17" s="164">
        <f t="shared" si="3"/>
        <v>0.11607463814302275</v>
      </c>
      <c r="Q17" s="164">
        <f t="shared" si="3"/>
        <v>0.11688541032790006</v>
      </c>
      <c r="R17" s="164">
        <f t="shared" si="3"/>
        <v>0.12361003453942408</v>
      </c>
      <c r="S17" s="164">
        <f t="shared" si="3"/>
        <v>0.12089709726328289</v>
      </c>
      <c r="T17" s="164">
        <f t="shared" si="3"/>
        <v>9.3123599547587574E-2</v>
      </c>
      <c r="U17" s="164">
        <f t="shared" si="3"/>
        <v>5.4587263765454648E-2</v>
      </c>
      <c r="V17" s="164">
        <f t="shared" si="3"/>
        <v>8.9413752244788661E-2</v>
      </c>
      <c r="W17" s="164">
        <f t="shared" si="3"/>
        <v>8.8561529433220529E-2</v>
      </c>
    </row>
    <row r="18" spans="3:23" ht="10.5" customHeight="1">
      <c r="C18" s="72"/>
      <c r="D18" s="7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3:23" ht="10.5" customHeight="1">
      <c r="C19" s="72"/>
      <c r="D19" s="7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3:23">
      <c r="D20" s="176" t="s">
        <v>121</v>
      </c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3:23">
      <c r="E21" s="79"/>
      <c r="F21" s="79"/>
      <c r="G21" s="79"/>
      <c r="H21" s="79"/>
      <c r="I21" s="79"/>
      <c r="J21" s="79"/>
      <c r="K21" s="79"/>
    </row>
    <row r="22" spans="3:23">
      <c r="D22" s="60" t="s">
        <v>114</v>
      </c>
      <c r="E22" s="79"/>
      <c r="F22" s="79"/>
      <c r="G22" s="79"/>
      <c r="H22" s="79"/>
      <c r="I22" s="79"/>
      <c r="J22" s="79"/>
      <c r="K22" s="79"/>
    </row>
    <row r="23" spans="3:23">
      <c r="E23" s="79"/>
      <c r="F23" s="79"/>
      <c r="G23" s="79"/>
      <c r="H23" s="79"/>
      <c r="I23" s="79"/>
      <c r="J23" s="79"/>
      <c r="K23" s="79"/>
    </row>
    <row r="24" spans="3:23">
      <c r="E24" s="79"/>
      <c r="F24" s="79"/>
      <c r="G24" s="79"/>
      <c r="H24" s="79"/>
      <c r="I24" s="79"/>
      <c r="J24" s="79"/>
      <c r="K24" s="79"/>
    </row>
    <row r="25" spans="3:23">
      <c r="E25" s="79"/>
      <c r="F25" s="79"/>
      <c r="G25" s="79"/>
      <c r="H25" s="79"/>
      <c r="I25" s="79"/>
      <c r="J25" s="79"/>
      <c r="K25" s="79"/>
    </row>
    <row r="26" spans="3:23">
      <c r="E26" s="79"/>
      <c r="F26" s="79"/>
      <c r="G26" s="79"/>
      <c r="H26" s="79"/>
      <c r="I26" s="79"/>
      <c r="J26" s="79"/>
      <c r="K26" s="79"/>
    </row>
    <row r="27" spans="3:23">
      <c r="E27" s="79"/>
      <c r="F27" s="79"/>
      <c r="G27" s="79"/>
      <c r="H27" s="79"/>
      <c r="I27" s="79"/>
      <c r="J27" s="79"/>
      <c r="K27" s="79"/>
    </row>
    <row r="28" spans="3:23">
      <c r="E28" s="79"/>
      <c r="F28" s="79"/>
      <c r="G28" s="79"/>
      <c r="H28" s="79"/>
      <c r="I28" s="79"/>
      <c r="J28" s="79"/>
      <c r="K28" s="79"/>
    </row>
    <row r="29" spans="3:23">
      <c r="E29" s="79"/>
      <c r="F29" s="79"/>
      <c r="G29" s="79"/>
      <c r="H29" s="79"/>
      <c r="I29" s="79"/>
      <c r="J29" s="79"/>
      <c r="K29" s="79"/>
    </row>
    <row r="30" spans="3:23">
      <c r="E30" s="79"/>
      <c r="F30" s="79"/>
      <c r="G30" s="79"/>
      <c r="H30" s="79"/>
      <c r="I30" s="79"/>
      <c r="J30" s="79"/>
      <c r="K30" s="79"/>
    </row>
  </sheetData>
  <mergeCells count="1">
    <mergeCell ref="D20:N20"/>
  </mergeCells>
  <phoneticPr fontId="50" type="noConversion"/>
  <printOptions horizontalCentered="1"/>
  <pageMargins left="0" right="0" top="0.75" bottom="0" header="0.3" footer="0.3"/>
  <pageSetup paperSize="5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7"/>
  <sheetViews>
    <sheetView showGridLines="0" topLeftCell="B2" workbookViewId="0">
      <pane xSplit="3" ySplit="6" topLeftCell="E8" activePane="bottomRight" state="frozen"/>
      <selection activeCell="W28" sqref="V28:W28"/>
      <selection pane="topRight" activeCell="W28" sqref="V28:W28"/>
      <selection pane="bottomLeft" activeCell="W28" sqref="V28:W28"/>
      <selection pane="bottomRight" activeCell="W28" sqref="V28:W28"/>
    </sheetView>
  </sheetViews>
  <sheetFormatPr defaultColWidth="9.1328125" defaultRowHeight="15.4" outlineLevelCol="1"/>
  <cols>
    <col min="1" max="1" width="10" style="60" hidden="1" customWidth="1"/>
    <col min="2" max="2" width="1.1328125" style="60" customWidth="1"/>
    <col min="3" max="3" width="2.6640625" style="60" customWidth="1"/>
    <col min="4" max="4" width="41.1328125" style="60" customWidth="1"/>
    <col min="5" max="5" width="15.53125" style="60" hidden="1" customWidth="1" outlineLevel="1"/>
    <col min="6" max="9" width="13.33203125" style="60" hidden="1" customWidth="1" outlineLevel="1"/>
    <col min="10" max="10" width="13.33203125" style="60" bestFit="1" customWidth="1" collapsed="1"/>
    <col min="11" max="11" width="13.33203125" style="60" bestFit="1" customWidth="1"/>
    <col min="12" max="12" width="13.6640625" style="60" customWidth="1"/>
    <col min="13" max="14" width="13.86328125" style="60" customWidth="1"/>
    <col min="15" max="15" width="13.33203125" style="60" bestFit="1" customWidth="1"/>
    <col min="16" max="16" width="13.46484375" style="60" bestFit="1" customWidth="1"/>
    <col min="17" max="21" width="13.33203125" style="60" bestFit="1" customWidth="1"/>
    <col min="22" max="22" width="14" style="60" bestFit="1" customWidth="1"/>
    <col min="23" max="23" width="16.46484375" style="60" bestFit="1" customWidth="1"/>
    <col min="24" max="16384" width="9.1328125" style="60"/>
  </cols>
  <sheetData>
    <row r="1" spans="1:23">
      <c r="A1" s="56" t="s">
        <v>0</v>
      </c>
      <c r="B1" s="56"/>
      <c r="C1" s="56"/>
      <c r="D1" s="57"/>
      <c r="E1" s="58"/>
      <c r="F1" s="58"/>
      <c r="G1" s="58"/>
      <c r="H1" s="58"/>
      <c r="I1" s="58"/>
      <c r="J1" s="58"/>
      <c r="K1" s="58"/>
      <c r="L1" s="59"/>
    </row>
    <row r="2" spans="1:23" ht="24.75" customHeight="1">
      <c r="B2" s="61"/>
      <c r="C2" s="61" t="s">
        <v>122</v>
      </c>
      <c r="D2" s="62"/>
      <c r="E2" s="58"/>
      <c r="F2" s="58"/>
      <c r="G2" s="58"/>
      <c r="H2" s="58"/>
      <c r="I2" s="58"/>
      <c r="J2" s="58"/>
      <c r="K2" s="58"/>
      <c r="M2" s="23"/>
      <c r="N2" s="23"/>
      <c r="O2" s="23"/>
    </row>
    <row r="3" spans="1:23" ht="36.75" customHeight="1">
      <c r="A3" s="63"/>
      <c r="B3" s="64" t="s">
        <v>147</v>
      </c>
      <c r="C3" s="63"/>
      <c r="D3" s="65"/>
      <c r="E3" s="27"/>
      <c r="F3" s="27"/>
      <c r="G3" s="27"/>
      <c r="H3" s="27"/>
      <c r="I3" s="27"/>
      <c r="J3" s="27"/>
      <c r="K3" s="27"/>
      <c r="M3" s="66"/>
      <c r="N3" s="66"/>
      <c r="O3" s="66"/>
      <c r="P3" s="67"/>
      <c r="W3" s="157" t="str">
        <f>+'SP Review'!W3</f>
        <v>FY24 Spending Plan           (as of 5/19/23)</v>
      </c>
    </row>
    <row r="4" spans="1:23">
      <c r="A4" s="68"/>
      <c r="B4" s="68"/>
      <c r="C4" s="68"/>
      <c r="E4" s="30" t="s">
        <v>91</v>
      </c>
      <c r="F4" s="30" t="s">
        <v>89</v>
      </c>
      <c r="G4" s="30" t="s">
        <v>63</v>
      </c>
      <c r="H4" s="30" t="s">
        <v>64</v>
      </c>
      <c r="I4" s="30" t="s">
        <v>58</v>
      </c>
      <c r="J4" s="30" t="s">
        <v>54</v>
      </c>
      <c r="K4" s="30" t="s">
        <v>55</v>
      </c>
      <c r="L4" s="30" t="s">
        <v>76</v>
      </c>
      <c r="M4" s="31" t="s">
        <v>77</v>
      </c>
      <c r="N4" s="31" t="s">
        <v>83</v>
      </c>
      <c r="O4" s="31" t="s">
        <v>84</v>
      </c>
      <c r="P4" s="31" t="s">
        <v>85</v>
      </c>
      <c r="Q4" s="31" t="s">
        <v>93</v>
      </c>
      <c r="R4" s="31" t="s">
        <v>123</v>
      </c>
      <c r="S4" s="31" t="s">
        <v>126</v>
      </c>
      <c r="T4" s="31" t="s">
        <v>127</v>
      </c>
      <c r="U4" s="31" t="s">
        <v>137</v>
      </c>
      <c r="V4" s="31" t="s">
        <v>142</v>
      </c>
      <c r="W4" s="31" t="s">
        <v>151</v>
      </c>
    </row>
    <row r="5" spans="1:23">
      <c r="A5" s="68"/>
      <c r="B5" s="68"/>
      <c r="C5" s="68"/>
      <c r="D5" s="69" t="s">
        <v>1</v>
      </c>
      <c r="E5" s="70" t="s">
        <v>59</v>
      </c>
      <c r="F5" s="70" t="s">
        <v>59</v>
      </c>
      <c r="G5" s="70" t="s">
        <v>59</v>
      </c>
      <c r="H5" s="70" t="s">
        <v>59</v>
      </c>
      <c r="I5" s="70" t="s">
        <v>59</v>
      </c>
      <c r="J5" s="70" t="s">
        <v>59</v>
      </c>
      <c r="K5" s="70" t="s">
        <v>59</v>
      </c>
      <c r="L5" s="70" t="s">
        <v>59</v>
      </c>
      <c r="M5" s="71" t="s">
        <v>59</v>
      </c>
      <c r="N5" s="71" t="s">
        <v>59</v>
      </c>
      <c r="O5" s="71" t="s">
        <v>59</v>
      </c>
      <c r="P5" s="71" t="s">
        <v>59</v>
      </c>
      <c r="Q5" s="71" t="s">
        <v>59</v>
      </c>
      <c r="R5" s="71" t="s">
        <v>59</v>
      </c>
      <c r="S5" s="71" t="s">
        <v>59</v>
      </c>
      <c r="T5" s="71" t="s">
        <v>59</v>
      </c>
      <c r="U5" s="71" t="s">
        <v>59</v>
      </c>
      <c r="V5" s="71" t="s">
        <v>59</v>
      </c>
      <c r="W5" s="71" t="s">
        <v>61</v>
      </c>
    </row>
    <row r="6" spans="1:23" ht="5.25" customHeight="1">
      <c r="A6" s="68"/>
      <c r="B6" s="68"/>
      <c r="C6" s="68"/>
      <c r="D6" s="32"/>
      <c r="E6" s="33"/>
      <c r="F6" s="33"/>
      <c r="G6" s="33"/>
      <c r="H6" s="33"/>
      <c r="I6" s="33"/>
      <c r="J6" s="33"/>
      <c r="K6" s="33"/>
      <c r="L6" s="21"/>
    </row>
    <row r="7" spans="1:23">
      <c r="A7" s="72"/>
      <c r="B7" s="72"/>
      <c r="C7" s="73" t="s">
        <v>2</v>
      </c>
      <c r="D7" s="72"/>
      <c r="E7" s="35"/>
      <c r="F7" s="35"/>
      <c r="G7" s="35"/>
      <c r="H7" s="35"/>
      <c r="I7" s="35"/>
      <c r="J7" s="35"/>
      <c r="K7" s="35"/>
    </row>
    <row r="8" spans="1:23">
      <c r="C8" s="72"/>
      <c r="D8" s="74" t="s">
        <v>109</v>
      </c>
      <c r="E8" s="3">
        <v>70759272</v>
      </c>
      <c r="F8" s="3">
        <v>73483665</v>
      </c>
      <c r="G8" s="3">
        <v>76929122</v>
      </c>
      <c r="H8" s="3">
        <v>81670113</v>
      </c>
      <c r="I8" s="3">
        <v>85320255</v>
      </c>
      <c r="J8" s="3">
        <v>92081818</v>
      </c>
      <c r="K8" s="3">
        <v>97497889</v>
      </c>
      <c r="L8" s="3">
        <v>98504931.5</v>
      </c>
      <c r="M8" s="3">
        <v>99868230</v>
      </c>
      <c r="N8" s="3">
        <v>103785724</v>
      </c>
      <c r="O8" s="3">
        <v>106200003</v>
      </c>
      <c r="P8" s="3">
        <v>112277095.16000001</v>
      </c>
      <c r="Q8" s="5">
        <v>116329977</v>
      </c>
      <c r="R8" s="5">
        <v>120095118</v>
      </c>
      <c r="S8" s="5">
        <v>122495838</v>
      </c>
      <c r="T8" s="3">
        <v>122585410</v>
      </c>
      <c r="U8" s="3">
        <v>117413074.66999999</v>
      </c>
      <c r="V8" s="3">
        <f>SUM('SP Review'!V8:V14)</f>
        <v>109075559</v>
      </c>
      <c r="W8" s="3">
        <f>SUM('SP Review'!W8:W14)</f>
        <v>112779183</v>
      </c>
    </row>
    <row r="9" spans="1:23">
      <c r="C9" s="72"/>
      <c r="D9" s="74" t="s">
        <v>10</v>
      </c>
      <c r="E9" s="8">
        <v>41647073</v>
      </c>
      <c r="F9" s="8">
        <v>44275092</v>
      </c>
      <c r="G9" s="8">
        <v>46308994</v>
      </c>
      <c r="H9" s="8">
        <v>48738356</v>
      </c>
      <c r="I9" s="8">
        <v>47979267</v>
      </c>
      <c r="J9" s="8">
        <v>46625017</v>
      </c>
      <c r="K9" s="3">
        <v>46486725</v>
      </c>
      <c r="L9" s="75">
        <f>41772165-1348803</f>
        <v>40423362</v>
      </c>
      <c r="M9" s="3">
        <v>38658317</v>
      </c>
      <c r="N9" s="5">
        <v>43108205</v>
      </c>
      <c r="O9" s="5">
        <v>43503420</v>
      </c>
      <c r="P9" s="5">
        <v>46482651</v>
      </c>
      <c r="Q9" s="5">
        <v>42397229</v>
      </c>
      <c r="R9" s="5">
        <f>37933774+983831</f>
        <v>38917605</v>
      </c>
      <c r="S9" s="5">
        <f>41259809+995558</f>
        <v>42255367</v>
      </c>
      <c r="T9" s="3">
        <v>42845944</v>
      </c>
      <c r="U9" s="3">
        <v>45307524</v>
      </c>
      <c r="V9" s="3">
        <f>+'SP Review'!V18+'SP Review'!V20</f>
        <v>54602259</v>
      </c>
      <c r="W9" s="3">
        <f>+'SP Review'!W18+'SP Review'!W20</f>
        <v>83749367</v>
      </c>
    </row>
    <row r="10" spans="1:23">
      <c r="C10" s="72"/>
      <c r="D10" s="74" t="s">
        <v>11</v>
      </c>
      <c r="E10" s="8">
        <v>18571264</v>
      </c>
      <c r="F10" s="8">
        <v>20531478</v>
      </c>
      <c r="G10" s="8">
        <v>22219210</v>
      </c>
      <c r="H10" s="8">
        <v>23734668</v>
      </c>
      <c r="I10" s="8">
        <v>23983777</v>
      </c>
      <c r="J10" s="8">
        <v>25076676</v>
      </c>
      <c r="K10" s="3">
        <v>25989882</v>
      </c>
      <c r="L10" s="75">
        <v>24313730</v>
      </c>
      <c r="M10" s="3">
        <v>26786138</v>
      </c>
      <c r="N10" s="5">
        <v>35085664</v>
      </c>
      <c r="O10" s="5">
        <v>36441839</v>
      </c>
      <c r="P10" s="5">
        <v>40938165.310000002</v>
      </c>
      <c r="Q10" s="5">
        <v>39674870</v>
      </c>
      <c r="R10" s="5">
        <v>37656992</v>
      </c>
      <c r="S10" s="5">
        <v>43693977</v>
      </c>
      <c r="T10" s="3">
        <v>43100980</v>
      </c>
      <c r="U10" s="3">
        <v>46860086</v>
      </c>
      <c r="V10" s="3">
        <f>+'SP Review'!V21</f>
        <v>55219261</v>
      </c>
      <c r="W10" s="3">
        <f>+'SP Review'!W21</f>
        <v>59578800</v>
      </c>
    </row>
    <row r="11" spans="1:23">
      <c r="C11" s="72"/>
      <c r="D11" s="74" t="s">
        <v>97</v>
      </c>
      <c r="E11" s="3">
        <v>13215167</v>
      </c>
      <c r="F11" s="3">
        <v>14091697</v>
      </c>
      <c r="G11" s="3">
        <v>16395592</v>
      </c>
      <c r="H11" s="3">
        <v>17632137</v>
      </c>
      <c r="I11" s="3">
        <v>18149337</v>
      </c>
      <c r="J11" s="3">
        <v>19818563</v>
      </c>
      <c r="K11" s="3">
        <v>20569018</v>
      </c>
      <c r="L11" s="3">
        <v>20342650</v>
      </c>
      <c r="M11" s="3">
        <v>20457021</v>
      </c>
      <c r="N11" s="3">
        <v>21187986</v>
      </c>
      <c r="O11" s="3">
        <v>22790805</v>
      </c>
      <c r="P11" s="3">
        <v>26905240.940000001</v>
      </c>
      <c r="Q11" s="5">
        <v>26905548</v>
      </c>
      <c r="R11" s="5">
        <v>28544445</v>
      </c>
      <c r="S11" s="5">
        <v>29463075</v>
      </c>
      <c r="T11" s="3">
        <v>21833879</v>
      </c>
      <c r="U11" s="3">
        <v>12136462.469999999</v>
      </c>
      <c r="V11" s="3">
        <f>SUM('SP Review'!V22:V23)</f>
        <v>21848734</v>
      </c>
      <c r="W11" s="3">
        <f>SUM('SP Review'!W22:W23)</f>
        <v>25431002</v>
      </c>
    </row>
    <row r="12" spans="1:23">
      <c r="C12" s="72"/>
      <c r="D12" s="74" t="s">
        <v>14</v>
      </c>
      <c r="E12" s="2">
        <v>1295654</v>
      </c>
      <c r="F12" s="2">
        <v>6698385</v>
      </c>
      <c r="G12" s="2">
        <v>7249169</v>
      </c>
      <c r="H12" s="2">
        <v>8082621</v>
      </c>
      <c r="I12" s="2">
        <v>5811076</v>
      </c>
      <c r="J12" s="2">
        <v>4873022</v>
      </c>
      <c r="K12" s="2">
        <v>5853177</v>
      </c>
      <c r="L12" s="2">
        <v>4773300</v>
      </c>
      <c r="M12" s="2">
        <v>5496993</v>
      </c>
      <c r="N12" s="2">
        <v>5297628</v>
      </c>
      <c r="O12" s="2">
        <v>5340287</v>
      </c>
      <c r="P12" s="2">
        <v>5189437</v>
      </c>
      <c r="Q12" s="2">
        <v>4879770</v>
      </c>
      <c r="R12" s="2">
        <v>5709204</v>
      </c>
      <c r="S12" s="2">
        <v>5795485</v>
      </c>
      <c r="T12" s="2">
        <v>4095074</v>
      </c>
      <c r="U12" s="2">
        <v>614247.27</v>
      </c>
      <c r="V12" s="2">
        <f>SUM('SP Review'!V24:V26)</f>
        <v>3609596</v>
      </c>
      <c r="W12" s="2">
        <f>SUM('SP Review'!W24:W26)</f>
        <v>5617958</v>
      </c>
    </row>
    <row r="13" spans="1:23" ht="15.75" thickBot="1">
      <c r="C13" s="72"/>
      <c r="D13" s="77" t="s">
        <v>16</v>
      </c>
      <c r="E13" s="7">
        <f>SUM(E8:E12)</f>
        <v>145488430</v>
      </c>
      <c r="F13" s="7">
        <f t="shared" ref="F13:L13" si="0">SUM(F8:F12)</f>
        <v>159080317</v>
      </c>
      <c r="G13" s="7">
        <f t="shared" si="0"/>
        <v>169102087</v>
      </c>
      <c r="H13" s="7">
        <f t="shared" si="0"/>
        <v>179857895</v>
      </c>
      <c r="I13" s="7">
        <f t="shared" si="0"/>
        <v>181243712</v>
      </c>
      <c r="J13" s="7">
        <f t="shared" si="0"/>
        <v>188475096</v>
      </c>
      <c r="K13" s="7">
        <f t="shared" si="0"/>
        <v>196396691</v>
      </c>
      <c r="L13" s="7">
        <f t="shared" si="0"/>
        <v>188357973.5</v>
      </c>
      <c r="M13" s="7">
        <f t="shared" ref="M13" si="1">SUM(M8:M12)</f>
        <v>191266699</v>
      </c>
      <c r="N13" s="7">
        <f t="shared" ref="N13" si="2">SUM(N8:N12)</f>
        <v>208465207</v>
      </c>
      <c r="O13" s="7">
        <f t="shared" ref="O13" si="3">SUM(O8:O12)</f>
        <v>214276354</v>
      </c>
      <c r="P13" s="7">
        <f t="shared" ref="P13" si="4">SUM(P8:P12)</f>
        <v>231792589.41000003</v>
      </c>
      <c r="Q13" s="7">
        <f t="shared" ref="Q13" si="5">SUM(Q8:Q12)</f>
        <v>230187394</v>
      </c>
      <c r="R13" s="7">
        <f t="shared" ref="R13:S13" si="6">SUM(R8:R12)</f>
        <v>230923364</v>
      </c>
      <c r="S13" s="7">
        <f t="shared" si="6"/>
        <v>243703742</v>
      </c>
      <c r="T13" s="7">
        <f t="shared" ref="T13" si="7">SUM(T8:T12)</f>
        <v>234461287</v>
      </c>
      <c r="U13" s="7">
        <f t="shared" ref="U13" si="8">SUM(U8:U12)</f>
        <v>222331394.41</v>
      </c>
      <c r="V13" s="7">
        <f t="shared" ref="V13" si="9">SUM(V8:V12)</f>
        <v>244355409</v>
      </c>
      <c r="W13" s="7">
        <f t="shared" ref="W13" si="10">SUM(W8:W12)</f>
        <v>287156310</v>
      </c>
    </row>
    <row r="14" spans="1:23" ht="15.75" thickTop="1">
      <c r="C14" s="72"/>
      <c r="D14" s="7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>
      <c r="C15" s="72"/>
      <c r="D15" s="7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C16" s="73" t="s">
        <v>17</v>
      </c>
      <c r="D16" s="7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3" ht="15.75" thickBot="1">
      <c r="C17" s="61" t="s">
        <v>29</v>
      </c>
      <c r="D17" s="79"/>
      <c r="E17" s="7">
        <v>91533477</v>
      </c>
      <c r="F17" s="7">
        <v>99081165</v>
      </c>
      <c r="G17" s="7">
        <v>105890456</v>
      </c>
      <c r="H17" s="7">
        <v>112933519</v>
      </c>
      <c r="I17" s="7">
        <v>118834341</v>
      </c>
      <c r="J17" s="7">
        <v>114331936</v>
      </c>
      <c r="K17" s="7">
        <v>121332821</v>
      </c>
      <c r="L17" s="7">
        <v>122234901</v>
      </c>
      <c r="M17" s="7">
        <v>127224665</v>
      </c>
      <c r="N17" s="7">
        <v>139966792</v>
      </c>
      <c r="O17" s="7">
        <v>148604338</v>
      </c>
      <c r="P17" s="7">
        <v>159310464.66</v>
      </c>
      <c r="Q17" s="7">
        <v>156904227</v>
      </c>
      <c r="R17" s="7">
        <v>157329832</v>
      </c>
      <c r="S17" s="7">
        <v>165262041</v>
      </c>
      <c r="T17" s="7">
        <v>168705387</v>
      </c>
      <c r="U17" s="7">
        <v>170767130.64999998</v>
      </c>
      <c r="V17" s="7">
        <f>+'SP Review'!V56</f>
        <v>179846262</v>
      </c>
      <c r="W17" s="7">
        <f>+'SP Review'!W56</f>
        <v>179288085</v>
      </c>
    </row>
    <row r="18" spans="1:23" ht="11.25" customHeight="1" thickTop="1">
      <c r="C18" s="61"/>
      <c r="D18" s="7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C19" s="61" t="s">
        <v>102</v>
      </c>
      <c r="D19" s="7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23" ht="15.75" thickBot="1">
      <c r="A20" s="72"/>
      <c r="B20" s="72"/>
      <c r="D20" s="61" t="s">
        <v>118</v>
      </c>
      <c r="E20" s="7">
        <v>127389618</v>
      </c>
      <c r="F20" s="7">
        <v>140687578</v>
      </c>
      <c r="G20" s="7">
        <v>151824081</v>
      </c>
      <c r="H20" s="7">
        <v>160212089</v>
      </c>
      <c r="I20" s="7">
        <v>169537675</v>
      </c>
      <c r="J20" s="7">
        <v>169070298</v>
      </c>
      <c r="K20" s="7">
        <v>175834834</v>
      </c>
      <c r="L20" s="7">
        <v>173768966</v>
      </c>
      <c r="M20" s="7">
        <v>181591857</v>
      </c>
      <c r="N20" s="7">
        <v>195938130</v>
      </c>
      <c r="O20" s="7">
        <v>204255028</v>
      </c>
      <c r="P20" s="7">
        <v>217641519.91</v>
      </c>
      <c r="Q20" s="7">
        <v>216761065</v>
      </c>
      <c r="R20" s="7">
        <v>217415181</v>
      </c>
      <c r="S20" s="7">
        <v>226182629</v>
      </c>
      <c r="T20" s="7">
        <v>222242361</v>
      </c>
      <c r="U20" s="7">
        <v>222182227.82999998</v>
      </c>
      <c r="V20" s="7">
        <f>+'SP Review'!V76</f>
        <v>236261182</v>
      </c>
      <c r="W20" s="7">
        <f>+'SP Review'!W76</f>
        <v>246875797</v>
      </c>
    </row>
    <row r="21" spans="1:23" ht="15.75" thickTop="1">
      <c r="A21" s="72"/>
      <c r="B21" s="72"/>
      <c r="C21" s="61"/>
      <c r="D21" s="8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72"/>
      <c r="B22" s="72"/>
      <c r="C22" s="72"/>
      <c r="D22" s="9" t="s">
        <v>80</v>
      </c>
      <c r="E22" s="146">
        <v>7050</v>
      </c>
      <c r="F22" s="146">
        <v>7206</v>
      </c>
      <c r="G22" s="146">
        <v>7270</v>
      </c>
      <c r="H22" s="146">
        <v>7526</v>
      </c>
      <c r="I22" s="146">
        <v>7609</v>
      </c>
      <c r="J22" s="146">
        <v>7849</v>
      </c>
      <c r="K22" s="146">
        <v>7870</v>
      </c>
      <c r="L22" s="146">
        <v>7749</v>
      </c>
      <c r="M22" s="146">
        <v>7646</v>
      </c>
      <c r="N22" s="146">
        <v>7539</v>
      </c>
      <c r="O22" s="146">
        <v>7612</v>
      </c>
      <c r="P22" s="146">
        <v>7562</v>
      </c>
      <c r="Q22" s="114">
        <v>7448</v>
      </c>
      <c r="R22" s="114">
        <v>7585</v>
      </c>
      <c r="S22" s="114">
        <v>7378</v>
      </c>
      <c r="T22" s="114">
        <v>7458.1</v>
      </c>
      <c r="U22" s="114">
        <v>6531</v>
      </c>
      <c r="V22" s="114">
        <f>+'SP Review'!V33</f>
        <v>5932</v>
      </c>
      <c r="W22" s="114"/>
    </row>
    <row r="23" spans="1:23">
      <c r="A23" s="72"/>
      <c r="B23" s="72"/>
      <c r="C23" s="72"/>
      <c r="D23" s="9" t="s">
        <v>81</v>
      </c>
      <c r="E23" s="147">
        <v>1660</v>
      </c>
      <c r="F23" s="147">
        <v>1583</v>
      </c>
      <c r="G23" s="147">
        <v>1530</v>
      </c>
      <c r="H23" s="147">
        <v>1486</v>
      </c>
      <c r="I23" s="147">
        <v>1545</v>
      </c>
      <c r="J23" s="147">
        <v>1606</v>
      </c>
      <c r="K23" s="147">
        <v>1599</v>
      </c>
      <c r="L23" s="147">
        <v>1615</v>
      </c>
      <c r="M23" s="147">
        <v>1530</v>
      </c>
      <c r="N23" s="147">
        <v>1504</v>
      </c>
      <c r="O23" s="147">
        <v>1557</v>
      </c>
      <c r="P23" s="147">
        <v>1610</v>
      </c>
      <c r="Q23" s="136">
        <v>1545</v>
      </c>
      <c r="R23" s="136">
        <v>1545</v>
      </c>
      <c r="S23" s="136">
        <v>1557</v>
      </c>
      <c r="T23" s="136">
        <v>1460</v>
      </c>
      <c r="U23" s="136">
        <v>1414</v>
      </c>
      <c r="V23" s="136">
        <f>+'SP Review'!V34</f>
        <v>1318</v>
      </c>
      <c r="W23" s="136"/>
    </row>
    <row r="24" spans="1:23" ht="15.75" thickBot="1">
      <c r="A24" s="72"/>
      <c r="B24" s="72"/>
      <c r="C24" s="72"/>
      <c r="D24" s="9" t="s">
        <v>117</v>
      </c>
      <c r="E24" s="148">
        <f>SUM(E22:E23)</f>
        <v>8710</v>
      </c>
      <c r="F24" s="148">
        <v>8789</v>
      </c>
      <c r="G24" s="148">
        <v>8800</v>
      </c>
      <c r="H24" s="148">
        <v>9012</v>
      </c>
      <c r="I24" s="148">
        <v>9154</v>
      </c>
      <c r="J24" s="148">
        <v>9455</v>
      </c>
      <c r="K24" s="148">
        <v>9469</v>
      </c>
      <c r="L24" s="148">
        <v>9364</v>
      </c>
      <c r="M24" s="148">
        <v>9176</v>
      </c>
      <c r="N24" s="148">
        <v>9043</v>
      </c>
      <c r="O24" s="148">
        <v>9169</v>
      </c>
      <c r="P24" s="148">
        <v>9172</v>
      </c>
      <c r="Q24" s="122">
        <v>8993</v>
      </c>
      <c r="R24" s="122">
        <v>9130</v>
      </c>
      <c r="S24" s="122">
        <f>SUM(S22:S23)</f>
        <v>8935</v>
      </c>
      <c r="T24" s="122">
        <f>SUM(T22:T23)</f>
        <v>8918.1</v>
      </c>
      <c r="U24" s="122">
        <v>7945</v>
      </c>
      <c r="V24" s="122">
        <f>+'SP Review'!V35</f>
        <v>7250</v>
      </c>
      <c r="W24" s="122"/>
    </row>
    <row r="25" spans="1:23" ht="15.75" thickTop="1">
      <c r="A25" s="72"/>
      <c r="B25" s="72"/>
      <c r="C25" s="72"/>
      <c r="D25" s="72"/>
      <c r="E25" s="79"/>
      <c r="F25" s="79"/>
      <c r="G25" s="79"/>
      <c r="H25" s="79"/>
      <c r="I25" s="79"/>
      <c r="J25" s="79"/>
      <c r="K25" s="79"/>
    </row>
    <row r="26" spans="1:23">
      <c r="A26" s="72"/>
      <c r="B26" s="72"/>
      <c r="C26" s="72"/>
      <c r="D26" s="83" t="s">
        <v>115</v>
      </c>
      <c r="E26" s="79"/>
      <c r="F26" s="79"/>
      <c r="G26" s="79"/>
      <c r="H26" s="79"/>
      <c r="I26" s="79"/>
      <c r="J26" s="79"/>
      <c r="K26" s="79"/>
    </row>
    <row r="27" spans="1:23" ht="5.25" customHeight="1">
      <c r="A27" s="72"/>
      <c r="B27" s="72"/>
      <c r="C27" s="72"/>
      <c r="D27" s="72"/>
      <c r="E27" s="79"/>
      <c r="F27" s="79"/>
      <c r="G27" s="79"/>
      <c r="H27" s="79"/>
      <c r="I27" s="79"/>
      <c r="J27" s="79"/>
      <c r="K27" s="79"/>
    </row>
    <row r="28" spans="1:23">
      <c r="A28" s="72"/>
      <c r="B28" s="72"/>
      <c r="C28" s="72"/>
      <c r="D28" s="74" t="s">
        <v>109</v>
      </c>
      <c r="E28" s="149">
        <f t="shared" ref="E28:V28" si="11">E8/E24</f>
        <v>8123.911825487945</v>
      </c>
      <c r="F28" s="149">
        <f t="shared" si="11"/>
        <v>8360.8675617248828</v>
      </c>
      <c r="G28" s="149">
        <f t="shared" si="11"/>
        <v>8741.9456818181825</v>
      </c>
      <c r="H28" s="149">
        <f t="shared" si="11"/>
        <v>9062.3738348868173</v>
      </c>
      <c r="I28" s="149">
        <f t="shared" si="11"/>
        <v>9320.54347826087</v>
      </c>
      <c r="J28" s="149">
        <f t="shared" si="11"/>
        <v>9738.9548387096766</v>
      </c>
      <c r="K28" s="149">
        <f t="shared" si="11"/>
        <v>10296.534903368887</v>
      </c>
      <c r="L28" s="149">
        <f t="shared" si="11"/>
        <v>10519.535615121742</v>
      </c>
      <c r="M28" s="149">
        <f t="shared" si="11"/>
        <v>10883.634481255449</v>
      </c>
      <c r="N28" s="149">
        <f t="shared" si="11"/>
        <v>11476.912971359063</v>
      </c>
      <c r="O28" s="149">
        <f t="shared" si="11"/>
        <v>11582.506598320428</v>
      </c>
      <c r="P28" s="149">
        <f t="shared" si="11"/>
        <v>12241.28817706062</v>
      </c>
      <c r="Q28" s="149">
        <f t="shared" si="11"/>
        <v>12935.614033136884</v>
      </c>
      <c r="R28" s="149">
        <f t="shared" si="11"/>
        <v>13153.901204819276</v>
      </c>
      <c r="S28" s="149">
        <f t="shared" si="11"/>
        <v>13709.662898712926</v>
      </c>
      <c r="T28" s="149">
        <f t="shared" si="11"/>
        <v>13745.686861551227</v>
      </c>
      <c r="U28" s="149">
        <f t="shared" si="11"/>
        <v>14778.234697293894</v>
      </c>
      <c r="V28" s="149">
        <f t="shared" si="11"/>
        <v>15044.904689655172</v>
      </c>
      <c r="W28" s="149"/>
    </row>
    <row r="29" spans="1:23">
      <c r="A29" s="72"/>
      <c r="B29" s="72"/>
      <c r="C29" s="72"/>
      <c r="D29" s="74" t="s">
        <v>10</v>
      </c>
      <c r="E29" s="150">
        <f t="shared" ref="E29:V29" si="12">E9/E24</f>
        <v>4781.5238805970148</v>
      </c>
      <c r="F29" s="150">
        <f t="shared" si="12"/>
        <v>5037.5574012970756</v>
      </c>
      <c r="G29" s="150">
        <f t="shared" si="12"/>
        <v>5262.3856818181821</v>
      </c>
      <c r="H29" s="150">
        <f t="shared" si="12"/>
        <v>5408.1620062139373</v>
      </c>
      <c r="I29" s="150">
        <f t="shared" si="12"/>
        <v>5241.3444395892502</v>
      </c>
      <c r="J29" s="150">
        <f t="shared" si="12"/>
        <v>4931.2551031200419</v>
      </c>
      <c r="K29" s="150">
        <f t="shared" si="12"/>
        <v>4909.3594888583802</v>
      </c>
      <c r="L29" s="150">
        <f t="shared" si="12"/>
        <v>4316.8904314395559</v>
      </c>
      <c r="M29" s="150">
        <f t="shared" si="12"/>
        <v>4212.9813644289452</v>
      </c>
      <c r="N29" s="150">
        <f t="shared" si="12"/>
        <v>4767.0247705407501</v>
      </c>
      <c r="O29" s="150">
        <f t="shared" si="12"/>
        <v>4744.6199149307449</v>
      </c>
      <c r="P29" s="150">
        <f t="shared" si="12"/>
        <v>5067.8860662887046</v>
      </c>
      <c r="Q29" s="150">
        <f t="shared" si="12"/>
        <v>4714.4700322473036</v>
      </c>
      <c r="R29" s="150">
        <f t="shared" si="12"/>
        <v>4262.6073384446881</v>
      </c>
      <c r="S29" s="150">
        <f t="shared" si="12"/>
        <v>4729.1960828203692</v>
      </c>
      <c r="T29" s="150">
        <f t="shared" si="12"/>
        <v>4804.3803052219637</v>
      </c>
      <c r="U29" s="150">
        <f t="shared" si="12"/>
        <v>5702.6461925739459</v>
      </c>
      <c r="V29" s="150">
        <f t="shared" si="12"/>
        <v>7531.3460689655176</v>
      </c>
      <c r="W29" s="150"/>
    </row>
    <row r="30" spans="1:23">
      <c r="A30" s="72"/>
      <c r="B30" s="72"/>
      <c r="C30" s="72"/>
      <c r="D30" s="74" t="s">
        <v>11</v>
      </c>
      <c r="E30" s="150">
        <f t="shared" ref="E30:V30" si="13">E10/E24</f>
        <v>2132.1772675086108</v>
      </c>
      <c r="F30" s="150">
        <f t="shared" si="13"/>
        <v>2336.0425531914893</v>
      </c>
      <c r="G30" s="150">
        <f t="shared" si="13"/>
        <v>2524.9102272727273</v>
      </c>
      <c r="H30" s="150">
        <f t="shared" si="13"/>
        <v>2633.6737683089214</v>
      </c>
      <c r="I30" s="150">
        <f t="shared" si="13"/>
        <v>2620.0324448328602</v>
      </c>
      <c r="J30" s="150">
        <f t="shared" si="13"/>
        <v>2652.2132205182443</v>
      </c>
      <c r="K30" s="150">
        <f t="shared" si="13"/>
        <v>2744.7335515893969</v>
      </c>
      <c r="L30" s="150">
        <f t="shared" si="13"/>
        <v>2596.5111063648014</v>
      </c>
      <c r="M30" s="150">
        <f t="shared" si="13"/>
        <v>2919.1519180470796</v>
      </c>
      <c r="N30" s="150">
        <f t="shared" si="13"/>
        <v>3879.8699546610637</v>
      </c>
      <c r="O30" s="150">
        <f t="shared" si="13"/>
        <v>3974.461664303632</v>
      </c>
      <c r="P30" s="150">
        <f t="shared" si="13"/>
        <v>4463.3847917575231</v>
      </c>
      <c r="Q30" s="150">
        <f t="shared" si="13"/>
        <v>4411.7502501945955</v>
      </c>
      <c r="R30" s="150">
        <f t="shared" si="13"/>
        <v>4124.5336254107342</v>
      </c>
      <c r="S30" s="150">
        <f t="shared" si="13"/>
        <v>4890.2044767767211</v>
      </c>
      <c r="T30" s="150">
        <f t="shared" si="13"/>
        <v>4832.9778764535049</v>
      </c>
      <c r="U30" s="150">
        <f t="shared" si="13"/>
        <v>5898.0599118942728</v>
      </c>
      <c r="V30" s="150">
        <f t="shared" si="13"/>
        <v>7616.4497931034484</v>
      </c>
      <c r="W30" s="150"/>
    </row>
    <row r="31" spans="1:23">
      <c r="A31" s="72"/>
      <c r="B31" s="72"/>
      <c r="C31" s="72"/>
      <c r="D31" s="84" t="s">
        <v>116</v>
      </c>
      <c r="E31" s="150">
        <f t="shared" ref="E31:V31" si="14">E17/E24</f>
        <v>10509.009988518943</v>
      </c>
      <c r="F31" s="150">
        <f t="shared" si="14"/>
        <v>11273.314939128457</v>
      </c>
      <c r="G31" s="150">
        <f t="shared" si="14"/>
        <v>12033.006363636363</v>
      </c>
      <c r="H31" s="150">
        <f t="shared" si="14"/>
        <v>12531.460164225477</v>
      </c>
      <c r="I31" s="150">
        <f t="shared" si="14"/>
        <v>12981.684618745903</v>
      </c>
      <c r="J31" s="150">
        <f t="shared" si="14"/>
        <v>12092.219566367001</v>
      </c>
      <c r="K31" s="150">
        <f t="shared" si="14"/>
        <v>12813.688985109304</v>
      </c>
      <c r="L31" s="150">
        <f t="shared" si="14"/>
        <v>13053.705788124733</v>
      </c>
      <c r="M31" s="150">
        <f t="shared" si="14"/>
        <v>13864.937336530078</v>
      </c>
      <c r="N31" s="150">
        <f t="shared" si="14"/>
        <v>15477.915735928342</v>
      </c>
      <c r="O31" s="150">
        <f t="shared" si="14"/>
        <v>16207.25684371251</v>
      </c>
      <c r="P31" s="150">
        <f t="shared" si="14"/>
        <v>17369.217690798079</v>
      </c>
      <c r="Q31" s="150">
        <f t="shared" si="14"/>
        <v>17447.373179139329</v>
      </c>
      <c r="R31" s="150">
        <f t="shared" si="14"/>
        <v>17232.183132530121</v>
      </c>
      <c r="S31" s="150">
        <f t="shared" si="14"/>
        <v>18496.031449356462</v>
      </c>
      <c r="T31" s="150">
        <f t="shared" si="14"/>
        <v>18917.189423756179</v>
      </c>
      <c r="U31" s="150">
        <f t="shared" si="14"/>
        <v>21493.660245437379</v>
      </c>
      <c r="V31" s="150">
        <f t="shared" si="14"/>
        <v>24806.380965517241</v>
      </c>
      <c r="W31" s="150"/>
    </row>
    <row r="32" spans="1:23">
      <c r="A32" s="72"/>
      <c r="B32" s="72"/>
      <c r="C32" s="72"/>
      <c r="D32" s="81" t="s">
        <v>41</v>
      </c>
      <c r="E32" s="163">
        <f t="shared" ref="E32:V32" si="15">E20/E24</f>
        <v>14625.673708381171</v>
      </c>
      <c r="F32" s="163">
        <f t="shared" si="15"/>
        <v>16007.233814996018</v>
      </c>
      <c r="G32" s="163">
        <f t="shared" si="15"/>
        <v>17252.736477272727</v>
      </c>
      <c r="H32" s="163">
        <f t="shared" si="15"/>
        <v>17777.63970261873</v>
      </c>
      <c r="I32" s="163">
        <f t="shared" si="15"/>
        <v>18520.611208214988</v>
      </c>
      <c r="J32" s="163">
        <f t="shared" si="15"/>
        <v>17881.575674246429</v>
      </c>
      <c r="K32" s="163">
        <f t="shared" si="15"/>
        <v>18569.525187453797</v>
      </c>
      <c r="L32" s="163">
        <f t="shared" si="15"/>
        <v>18557.13007261854</v>
      </c>
      <c r="M32" s="163">
        <f t="shared" si="15"/>
        <v>19789.871076721884</v>
      </c>
      <c r="N32" s="163">
        <f t="shared" si="15"/>
        <v>21667.381399977883</v>
      </c>
      <c r="O32" s="163">
        <f t="shared" si="15"/>
        <v>22276.696259134038</v>
      </c>
      <c r="P32" s="163">
        <f t="shared" si="15"/>
        <v>23728.905354339295</v>
      </c>
      <c r="Q32" s="163">
        <f t="shared" si="15"/>
        <v>24103.309796508394</v>
      </c>
      <c r="R32" s="163">
        <f t="shared" si="15"/>
        <v>23813.272836801752</v>
      </c>
      <c r="S32" s="163">
        <f t="shared" si="15"/>
        <v>25314.228203693339</v>
      </c>
      <c r="T32" s="163">
        <f t="shared" si="15"/>
        <v>24920.371043159415</v>
      </c>
      <c r="U32" s="163">
        <f t="shared" si="15"/>
        <v>27965.038115796095</v>
      </c>
      <c r="V32" s="163">
        <f t="shared" si="15"/>
        <v>32587.749241379312</v>
      </c>
      <c r="W32" s="163"/>
    </row>
    <row r="33" spans="1:11">
      <c r="A33" s="72"/>
      <c r="B33" s="72"/>
      <c r="C33" s="72"/>
      <c r="D33" s="72"/>
      <c r="E33" s="79"/>
      <c r="F33" s="79"/>
      <c r="G33" s="79"/>
      <c r="H33" s="79"/>
      <c r="I33" s="79"/>
      <c r="J33" s="79"/>
      <c r="K33" s="79"/>
    </row>
    <row r="34" spans="1:11">
      <c r="A34" s="72"/>
      <c r="B34" s="72"/>
      <c r="C34" s="72"/>
      <c r="D34" s="72"/>
      <c r="E34" s="79"/>
      <c r="F34" s="79"/>
      <c r="G34" s="79"/>
      <c r="H34" s="79"/>
      <c r="I34" s="79"/>
      <c r="J34" s="79"/>
      <c r="K34" s="79"/>
    </row>
    <row r="35" spans="1:11">
      <c r="A35" s="72"/>
      <c r="B35" s="72"/>
      <c r="C35" s="72"/>
      <c r="D35" s="72"/>
      <c r="E35" s="79"/>
      <c r="F35" s="79"/>
      <c r="G35" s="79"/>
      <c r="H35" s="79"/>
      <c r="I35" s="79"/>
      <c r="J35" s="79"/>
      <c r="K35" s="79"/>
    </row>
    <row r="36" spans="1:11">
      <c r="A36" s="72"/>
      <c r="B36" s="72"/>
      <c r="C36" s="72"/>
      <c r="D36" s="72"/>
      <c r="E36" s="79"/>
      <c r="F36" s="79"/>
      <c r="G36" s="79"/>
      <c r="H36" s="79"/>
      <c r="I36" s="79"/>
      <c r="J36" s="79"/>
      <c r="K36" s="79"/>
    </row>
    <row r="37" spans="1:11">
      <c r="A37" s="72"/>
      <c r="B37" s="72"/>
      <c r="C37" s="72"/>
      <c r="D37" s="85" t="s">
        <v>121</v>
      </c>
      <c r="E37" s="79"/>
      <c r="F37" s="79"/>
      <c r="G37" s="79"/>
      <c r="H37" s="79"/>
      <c r="I37" s="79"/>
      <c r="J37" s="79"/>
      <c r="K37" s="79"/>
    </row>
    <row r="38" spans="1:11">
      <c r="A38" s="72"/>
      <c r="B38" s="72"/>
      <c r="C38" s="72"/>
      <c r="D38" s="72"/>
      <c r="E38" s="79"/>
      <c r="F38" s="79"/>
      <c r="G38" s="79"/>
      <c r="H38" s="79"/>
      <c r="I38" s="79"/>
      <c r="J38" s="79"/>
      <c r="K38" s="79"/>
    </row>
    <row r="39" spans="1:11">
      <c r="A39" s="72"/>
      <c r="B39" s="72"/>
      <c r="C39" s="86"/>
      <c r="D39" s="21"/>
      <c r="E39" s="79"/>
      <c r="F39" s="79"/>
      <c r="G39" s="79"/>
      <c r="H39" s="79"/>
      <c r="I39" s="79"/>
      <c r="J39" s="79"/>
      <c r="K39" s="79"/>
    </row>
    <row r="40" spans="1:11" ht="6.75" customHeight="1">
      <c r="A40" s="72"/>
      <c r="B40" s="72"/>
      <c r="C40" s="21"/>
      <c r="D40" s="43"/>
      <c r="E40" s="79"/>
      <c r="F40" s="79"/>
      <c r="G40" s="79"/>
      <c r="H40" s="79"/>
      <c r="I40" s="79"/>
      <c r="J40" s="79"/>
      <c r="K40" s="79"/>
    </row>
    <row r="41" spans="1:11">
      <c r="A41" s="72"/>
      <c r="B41" s="72"/>
      <c r="C41" s="87"/>
      <c r="D41" s="72"/>
      <c r="E41" s="79"/>
      <c r="F41" s="79"/>
      <c r="G41" s="79"/>
      <c r="H41" s="79"/>
      <c r="I41" s="79"/>
      <c r="J41" s="79"/>
      <c r="K41" s="79"/>
    </row>
    <row r="42" spans="1:11">
      <c r="E42" s="79"/>
      <c r="F42" s="79"/>
      <c r="G42" s="79"/>
      <c r="H42" s="79"/>
      <c r="I42" s="79"/>
      <c r="J42" s="79"/>
      <c r="K42" s="79"/>
    </row>
    <row r="43" spans="1:11">
      <c r="E43" s="79"/>
      <c r="F43" s="79"/>
      <c r="G43" s="79"/>
      <c r="H43" s="79"/>
      <c r="I43" s="79"/>
      <c r="J43" s="79"/>
      <c r="K43" s="79"/>
    </row>
    <row r="44" spans="1:11">
      <c r="E44" s="79"/>
      <c r="F44" s="79"/>
      <c r="G44" s="79"/>
      <c r="H44" s="79"/>
      <c r="I44" s="79"/>
      <c r="J44" s="79"/>
      <c r="K44" s="79"/>
    </row>
    <row r="45" spans="1:11">
      <c r="E45" s="79"/>
      <c r="F45" s="79"/>
      <c r="G45" s="79"/>
      <c r="H45" s="79"/>
      <c r="I45" s="79"/>
      <c r="J45" s="79"/>
      <c r="K45" s="79"/>
    </row>
    <row r="46" spans="1:11">
      <c r="E46" s="79"/>
      <c r="F46" s="79"/>
      <c r="G46" s="79"/>
      <c r="H46" s="79"/>
      <c r="I46" s="79"/>
      <c r="J46" s="79"/>
      <c r="K46" s="79"/>
    </row>
    <row r="47" spans="1:11">
      <c r="E47" s="79"/>
      <c r="F47" s="79"/>
      <c r="G47" s="79"/>
      <c r="H47" s="79"/>
      <c r="I47" s="79"/>
      <c r="J47" s="79"/>
      <c r="K47" s="79"/>
    </row>
    <row r="48" spans="1:11">
      <c r="E48" s="79"/>
      <c r="F48" s="79"/>
      <c r="G48" s="79"/>
      <c r="H48" s="79"/>
      <c r="I48" s="79"/>
      <c r="J48" s="79"/>
      <c r="K48" s="79"/>
    </row>
    <row r="49" spans="4:11">
      <c r="D49" s="60" t="s">
        <v>114</v>
      </c>
      <c r="E49" s="79"/>
      <c r="F49" s="79"/>
      <c r="G49" s="79"/>
      <c r="H49" s="79"/>
      <c r="I49" s="79"/>
      <c r="J49" s="79"/>
      <c r="K49" s="79"/>
    </row>
    <row r="50" spans="4:11">
      <c r="E50" s="79"/>
      <c r="F50" s="79"/>
      <c r="G50" s="79"/>
      <c r="H50" s="79"/>
      <c r="I50" s="79"/>
      <c r="J50" s="79"/>
      <c r="K50" s="79"/>
    </row>
    <row r="51" spans="4:11">
      <c r="E51" s="79"/>
      <c r="F51" s="79"/>
      <c r="G51" s="79"/>
      <c r="H51" s="79"/>
      <c r="I51" s="79"/>
      <c r="J51" s="79"/>
      <c r="K51" s="79"/>
    </row>
    <row r="52" spans="4:11">
      <c r="E52" s="79"/>
      <c r="F52" s="79"/>
      <c r="G52" s="79"/>
      <c r="H52" s="79"/>
      <c r="I52" s="79"/>
      <c r="J52" s="79"/>
      <c r="K52" s="79"/>
    </row>
    <row r="53" spans="4:11">
      <c r="E53" s="79"/>
      <c r="F53" s="79"/>
      <c r="G53" s="79"/>
      <c r="H53" s="79"/>
      <c r="I53" s="79"/>
      <c r="J53" s="79"/>
      <c r="K53" s="79"/>
    </row>
    <row r="54" spans="4:11">
      <c r="E54" s="79"/>
      <c r="F54" s="79"/>
      <c r="G54" s="79"/>
      <c r="H54" s="79"/>
      <c r="I54" s="79"/>
      <c r="J54" s="79"/>
      <c r="K54" s="79"/>
    </row>
    <row r="55" spans="4:11">
      <c r="E55" s="79"/>
      <c r="F55" s="79"/>
      <c r="G55" s="79"/>
      <c r="H55" s="79"/>
      <c r="I55" s="79"/>
      <c r="J55" s="79"/>
      <c r="K55" s="79"/>
    </row>
    <row r="56" spans="4:11">
      <c r="E56" s="79"/>
      <c r="F56" s="79"/>
      <c r="G56" s="79"/>
      <c r="H56" s="79"/>
      <c r="I56" s="79"/>
      <c r="J56" s="79"/>
      <c r="K56" s="79"/>
    </row>
    <row r="57" spans="4:11">
      <c r="E57" s="79"/>
      <c r="F57" s="79"/>
      <c r="G57" s="79"/>
      <c r="H57" s="79"/>
      <c r="I57" s="79"/>
      <c r="J57" s="79"/>
      <c r="K57" s="79"/>
    </row>
  </sheetData>
  <phoneticPr fontId="50" type="noConversion"/>
  <pageMargins left="0" right="0" top="0.5" bottom="0.5" header="0.3" footer="0.3"/>
  <pageSetup paperSize="5" scale="7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7" ma:contentTypeDescription="Create a new document." ma:contentTypeScope="" ma:versionID="38302457fb124b55f01fd93259fe8e0d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3c2afff188552fd66480523c99f2f839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3D122-FF21-4E86-8E20-9B48F669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C70752-7280-4DFF-A754-623597FBEFFD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13157ccd-cfd1-435b-b54a-77ed15165e25"/>
    <ds:schemaRef ds:uri="http://purl.org/dc/elements/1.1/"/>
    <ds:schemaRef ds:uri="http://schemas.microsoft.com/office/2006/documentManagement/types"/>
    <ds:schemaRef ds:uri="http://schemas.microsoft.com/office/2006/metadata/properties"/>
    <ds:schemaRef ds:uri="fce1a9b3-876c-481d-9ebf-ee1ba0063a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61ECFF-4CC4-43CB-B226-C3A391FB6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SP Review</vt:lpstr>
      <vt:lpstr>SP excludes fringe from rev</vt:lpstr>
      <vt:lpstr>SP with fringe</vt:lpstr>
      <vt:lpstr>Per FTE</vt:lpstr>
      <vt:lpstr>'SP Review'!Print_Area</vt:lpstr>
      <vt:lpstr>'SP Review'!Print_Titles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CCSU</dc:creator>
  <cp:lastModifiedBy>Bucher, Lisa (Chief Budget Officer)</cp:lastModifiedBy>
  <cp:lastPrinted>2023-07-06T15:13:10Z</cp:lastPrinted>
  <dcterms:created xsi:type="dcterms:W3CDTF">2010-09-24T14:24:45Z</dcterms:created>
  <dcterms:modified xsi:type="dcterms:W3CDTF">2023-07-06T15:13:23Z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900200</vt:r8>
  </property>
  <property fmtid="{D5CDD505-2E9C-101B-9397-08002B2CF9AE}" pid="4" name="MediaServiceImageTags">
    <vt:lpwstr/>
  </property>
</Properties>
</file>